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328"/>
  <workbookPr defaultThemeVersion="166925"/>
  <mc:AlternateContent xmlns:mc="http://schemas.openxmlformats.org/markup-compatibility/2006">
    <mc:Choice Requires="x15">
      <x15ac:absPath xmlns:x15ac="http://schemas.microsoft.com/office/spreadsheetml/2010/11/ac" url="Z:\SUROD\GEFOP\TATIANA\SUPERVISORAS\ECO101_RIO VALADARES\TR_Orçamento_ETP_R01_inclusaoVIABAHIA\"/>
    </mc:Choice>
  </mc:AlternateContent>
  <xr:revisionPtr revIDLastSave="0" documentId="13_ncr:1_{6AB76E51-30C4-4723-88AC-79889D5DCC69}" xr6:coauthVersionLast="41" xr6:coauthVersionMax="47" xr10:uidLastSave="{00000000-0000-0000-0000-000000000000}"/>
  <bookViews>
    <workbookView xWindow="28680" yWindow="-120" windowWidth="29040" windowHeight="15840" tabRatio="817" xr2:uid="{46700E01-49D5-4DDE-AE21-AF7A1D5A775A}"/>
  </bookViews>
  <sheets>
    <sheet name="Principal" sheetId="11" r:id="rId1"/>
    <sheet name="Cronograma_Fisico_Financeiro" sheetId="29" r:id="rId2"/>
    <sheet name="Cronograma_Fisico" sheetId="10" r:id="rId3"/>
    <sheet name="CPU_1.1, 1.2 e 1.3" sheetId="24" r:id="rId4"/>
    <sheet name="CPU_2.1, 8.1 e 14.1" sheetId="13" r:id="rId5"/>
    <sheet name="CPU_3.1, 9.1 e 15.1" sheetId="16" r:id="rId6"/>
    <sheet name="CPU_4.1,10.1 e 16.1" sheetId="19" r:id="rId7"/>
    <sheet name="CPU_5.1, 11.1 e 17.1" sheetId="20" r:id="rId8"/>
    <sheet name="CPU_6.1, 12.1 e 18.1" sheetId="21" r:id="rId9"/>
    <sheet name="CPU_7.1, 13.1 e 19.1" sheetId="22" r:id="rId10"/>
    <sheet name="Tabela DNIT-Consult-MO" sheetId="7" r:id="rId11"/>
    <sheet name="Tabela DNIT-Consult-BDI" sheetId="8" r:id="rId12"/>
    <sheet name="Diárias" sheetId="15" r:id="rId13"/>
    <sheet name="CPU_Eq. Coord." sheetId="23" r:id="rId14"/>
    <sheet name="Mapa de Cotação - FWD, IRI, LVC" sheetId="25" r:id="rId15"/>
    <sheet name="Lista Fornecedores" sheetId="28" r:id="rId16"/>
  </sheets>
  <definedNames>
    <definedName name="_____________OUT98">#REF!</definedName>
    <definedName name="____________OUT98">#REF!</definedName>
    <definedName name="____________OUT988">#REF!</definedName>
    <definedName name="___________OUT98">#REF!</definedName>
    <definedName name="___________OUT988">#REF!</definedName>
    <definedName name="___________OUT9888">#REF!</definedName>
    <definedName name="__________OUT98">#REF!</definedName>
    <definedName name="_________OUT98">#REF!</definedName>
    <definedName name="_________OUTT98">#REF!</definedName>
    <definedName name="_________OUTT988">#REF!</definedName>
    <definedName name="________OUT98">#REF!</definedName>
    <definedName name="________OUTTT98">#REF!</definedName>
    <definedName name="_______OUT98">#REF!</definedName>
    <definedName name="_______OUT9888">#REF!</definedName>
    <definedName name="______OUT98">#REF!</definedName>
    <definedName name="______OUTT98888">#REF!</definedName>
    <definedName name="_____OUT98">#REF!</definedName>
    <definedName name="_____OUTTT988">#REF!</definedName>
    <definedName name="____OUT98">#REF!</definedName>
    <definedName name="____OUTTT98">#REF!</definedName>
    <definedName name="___OUT98">#REF!</definedName>
    <definedName name="__OUT98">#REF!</definedName>
    <definedName name="__OUT988888">#REF!</definedName>
    <definedName name="_Fill">#REF!</definedName>
    <definedName name="_OUT98">#REF!</definedName>
    <definedName name="_OUTTTT9888">#REF!</definedName>
    <definedName name="_xlnm.Print_Area" localSheetId="2">Cronograma_Fisico!$B$1:$K$24</definedName>
    <definedName name="_xlnm.Print_Area" localSheetId="1">Cronograma_Fisico_Financeiro!$B$1:$K$24</definedName>
    <definedName name="_xlnm.Print_Area" localSheetId="14">'Mapa de Cotação - FWD, IRI, LVC'!$A$1:$K$24</definedName>
    <definedName name="Bloco2">#REF!</definedName>
    <definedName name="CadIns">#REF!</definedName>
    <definedName name="CadSrv">#REF!</definedName>
    <definedName name="CAPA">#REF!</definedName>
    <definedName name="capa1">#REF!</definedName>
    <definedName name="capa11">#REF!</definedName>
    <definedName name="capa2">#REF!</definedName>
    <definedName name="capa22">#REF!</definedName>
    <definedName name="CAPAA">#REF!</definedName>
    <definedName name="cch">#REF!</definedName>
    <definedName name="Chave">#REF!</definedName>
    <definedName name="Chave1">#REF!</definedName>
    <definedName name="Clas">#REF!</definedName>
    <definedName name="Cls">#REF!</definedName>
    <definedName name="Cod">#REF!</definedName>
    <definedName name="Codigo">#REF!</definedName>
    <definedName name="COFINS">#REF!</definedName>
    <definedName name="Coluna">#REF!</definedName>
    <definedName name="Comp">#REF!</definedName>
    <definedName name="COTACAO">#REF!</definedName>
    <definedName name="CpuAux">#REF!</definedName>
    <definedName name="CPUs">#REF!</definedName>
    <definedName name="CRIT">#REF!</definedName>
    <definedName name="CunEq">#REF!</definedName>
    <definedName name="CunMo">#REF!</definedName>
    <definedName name="CunMp">#REF!</definedName>
    <definedName name="DAER1">#REF!</definedName>
    <definedName name="DAER11">#REF!</definedName>
    <definedName name="DescAux">#REF!</definedName>
    <definedName name="dfgs">#REF!</definedName>
    <definedName name="dfgss">#REF!</definedName>
    <definedName name="EQ">#REF!</definedName>
    <definedName name="FATURAS2002">#REF!</definedName>
    <definedName name="FATURAS20022">#REF!</definedName>
    <definedName name="FOLHA01">#REF!</definedName>
    <definedName name="FOLHA011">#REF!</definedName>
    <definedName name="folha1">#REF!</definedName>
    <definedName name="folha11">#REF!</definedName>
    <definedName name="Fresagem01">#REF!</definedName>
    <definedName name="Fresagem011">#REF!</definedName>
    <definedName name="gtryfj">#REF!</definedName>
    <definedName name="gtryfjj">#REF!</definedName>
    <definedName name="Insumos">#REF!</definedName>
    <definedName name="ISSQN">#REF!</definedName>
    <definedName name="Itens">#REF!</definedName>
    <definedName name="JANEIRO2003">#REF!</definedName>
    <definedName name="JANEIRO20033">#REF!</definedName>
    <definedName name="lab">#REF!</definedName>
    <definedName name="labb">#REF!</definedName>
    <definedName name="Max">#REF!</definedName>
    <definedName name="MO">#REF!</definedName>
    <definedName name="Modelo">#REF!</definedName>
    <definedName name="MP">#REF!</definedName>
    <definedName name="orçamrest">#REF!</definedName>
    <definedName name="orçamrestt">#REF!</definedName>
    <definedName name="Ordem">#REF!</definedName>
    <definedName name="Origem">#REF!</definedName>
    <definedName name="p">#REF!</definedName>
    <definedName name="Pal_Workbook_GUID" hidden="1">"ZJCEKNZZ6MSABE3E4DMF6R63"</definedName>
    <definedName name="pc">#REF!</definedName>
    <definedName name="PIS">#REF!</definedName>
    <definedName name="Plan1">#REF!</definedName>
    <definedName name="Posição">#REF!</definedName>
    <definedName name="Prd">#REF!</definedName>
    <definedName name="PrdAux">#REF!</definedName>
    <definedName name="PROD_1">#REF!</definedName>
    <definedName name="PROD_11">#REF!</definedName>
    <definedName name="QD">#REF!</definedName>
    <definedName name="QTD">#REF!</definedName>
    <definedName name="QtEq">#REF!</definedName>
    <definedName name="QtMo">#REF!</definedName>
    <definedName name="QtMp">#REF!</definedName>
    <definedName name="QtTr">#REF!</definedName>
    <definedName name="REL">#REF!</definedName>
    <definedName name="Relat">#REF!</definedName>
    <definedName name="RELL">#REF!</definedName>
    <definedName name="RiskIsInput" hidden="1">FALSE</definedName>
    <definedName name="RiskIsOptimization" hidden="1">FALSE</definedName>
    <definedName name="RiskIsOutput" hidden="1">FALSE</definedName>
    <definedName name="RiskIsStatistics" hidden="1">FALSE</definedName>
    <definedName name="rr">#REF!</definedName>
    <definedName name="rrff">#REF!</definedName>
    <definedName name="rrfff">#REF!</definedName>
    <definedName name="rrr">#REF!</definedName>
    <definedName name="S">#REF!</definedName>
    <definedName name="sasda">#REF!</definedName>
    <definedName name="sasdaa">#REF!</definedName>
    <definedName name="SE">#REF!</definedName>
    <definedName name="SETEMBRO">#REF!</definedName>
    <definedName name="SETEMBROO">#REF!</definedName>
    <definedName name="solver_adj" localSheetId="2" hidden="1">Cronograma_Fisico!#REF!</definedName>
    <definedName name="solver_adj" localSheetId="1" hidden="1">Cronograma_Fisico_Financeiro!#REF!</definedName>
    <definedName name="solver_cvg" localSheetId="2" hidden="1">0.0001</definedName>
    <definedName name="solver_cvg" localSheetId="1" hidden="1">0.0001</definedName>
    <definedName name="solver_drv" localSheetId="2" hidden="1">1</definedName>
    <definedName name="solver_drv" localSheetId="1" hidden="1">1</definedName>
    <definedName name="solver_eng" localSheetId="2" hidden="1">1</definedName>
    <definedName name="solver_eng" localSheetId="1" hidden="1">1</definedName>
    <definedName name="solver_est" localSheetId="2" hidden="1">1</definedName>
    <definedName name="solver_est" localSheetId="1" hidden="1">1</definedName>
    <definedName name="solver_itr" localSheetId="2" hidden="1">2147483647</definedName>
    <definedName name="solver_itr" localSheetId="1" hidden="1">2147483647</definedName>
    <definedName name="solver_mip" localSheetId="2" hidden="1">2147483647</definedName>
    <definedName name="solver_mip" localSheetId="1" hidden="1">2147483647</definedName>
    <definedName name="solver_mni" localSheetId="2" hidden="1">30</definedName>
    <definedName name="solver_mni" localSheetId="1" hidden="1">30</definedName>
    <definedName name="solver_mrt" localSheetId="2" hidden="1">0.075</definedName>
    <definedName name="solver_mrt" localSheetId="1" hidden="1">0.075</definedName>
    <definedName name="solver_msl" localSheetId="2" hidden="1">2</definedName>
    <definedName name="solver_msl" localSheetId="1" hidden="1">2</definedName>
    <definedName name="solver_neg" localSheetId="2" hidden="1">1</definedName>
    <definedName name="solver_neg" localSheetId="1" hidden="1">1</definedName>
    <definedName name="solver_nod" localSheetId="2" hidden="1">2147483647</definedName>
    <definedName name="solver_nod" localSheetId="1" hidden="1">2147483647</definedName>
    <definedName name="solver_num" localSheetId="2" hidden="1">0</definedName>
    <definedName name="solver_num" localSheetId="1" hidden="1">0</definedName>
    <definedName name="solver_nwt" localSheetId="2" hidden="1">1</definedName>
    <definedName name="solver_nwt" localSheetId="1" hidden="1">1</definedName>
    <definedName name="solver_opt" localSheetId="2" hidden="1">Cronograma_Fisico!#REF!</definedName>
    <definedName name="solver_opt" localSheetId="1" hidden="1">Cronograma_Fisico_Financeiro!#REF!</definedName>
    <definedName name="solver_pre" localSheetId="2" hidden="1">0.000001</definedName>
    <definedName name="solver_pre" localSheetId="1" hidden="1">0.000001</definedName>
    <definedName name="solver_rbv" localSheetId="2" hidden="1">1</definedName>
    <definedName name="solver_rbv" localSheetId="1" hidden="1">1</definedName>
    <definedName name="solver_rlx" localSheetId="2" hidden="1">2</definedName>
    <definedName name="solver_rlx" localSheetId="1" hidden="1">2</definedName>
    <definedName name="solver_rsd" localSheetId="2" hidden="1">0</definedName>
    <definedName name="solver_rsd" localSheetId="1" hidden="1">0</definedName>
    <definedName name="solver_scl" localSheetId="2" hidden="1">1</definedName>
    <definedName name="solver_scl" localSheetId="1" hidden="1">1</definedName>
    <definedName name="solver_sho" localSheetId="2" hidden="1">2</definedName>
    <definedName name="solver_sho" localSheetId="1" hidden="1">2</definedName>
    <definedName name="solver_ssz" localSheetId="2" hidden="1">100</definedName>
    <definedName name="solver_ssz" localSheetId="1" hidden="1">100</definedName>
    <definedName name="solver_tim" localSheetId="2" hidden="1">2147483647</definedName>
    <definedName name="solver_tim" localSheetId="1" hidden="1">2147483647</definedName>
    <definedName name="solver_tol" localSheetId="2" hidden="1">0.01</definedName>
    <definedName name="solver_tol" localSheetId="1" hidden="1">0.01</definedName>
    <definedName name="solver_typ" localSheetId="2" hidden="1">3</definedName>
    <definedName name="solver_typ" localSheetId="1" hidden="1">3</definedName>
    <definedName name="solver_val" localSheetId="2" hidden="1">7.2</definedName>
    <definedName name="solver_val" localSheetId="1" hidden="1">7.2</definedName>
    <definedName name="solver_ver" localSheetId="2" hidden="1">3</definedName>
    <definedName name="solver_ver" localSheetId="1" hidden="1">3</definedName>
    <definedName name="SRV">#REF!</definedName>
    <definedName name="SS">#REF!</definedName>
    <definedName name="_xlnm.Print_Titles" localSheetId="2">Cronograma_Fisico!$1:$3</definedName>
    <definedName name="_xlnm.Print_Titles" localSheetId="1">Cronograma_Fisico_Financeiro!$1:$3</definedName>
    <definedName name="TOT">#REF!</definedName>
    <definedName name="TYUIO">#REF!</definedName>
    <definedName name="TYUIOO">#REF!</definedName>
    <definedName name="un">#REF!</definedName>
    <definedName name="UnidAux">#REF!</definedName>
    <definedName name="wrn.PENDENCIAS.">#REF!</definedName>
    <definedName name="wrn.RELAT_EAP.">#REF!</definedName>
    <definedName name="wrn.Tipo.">#REF!</definedName>
    <definedName name="wrn.Tipo..">#REF!</definedName>
    <definedName name="XXX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41" i="23" l="1"/>
  <c r="G34" i="23"/>
  <c r="G27" i="23"/>
  <c r="G29" i="22"/>
  <c r="G25" i="22"/>
  <c r="G21" i="22"/>
  <c r="G29" i="21"/>
  <c r="G25" i="21"/>
  <c r="G21" i="21"/>
  <c r="G32" i="20"/>
  <c r="G27" i="20"/>
  <c r="G22" i="20"/>
  <c r="G32" i="19"/>
  <c r="G27" i="19"/>
  <c r="G22" i="19"/>
  <c r="G41" i="16"/>
  <c r="G33" i="16"/>
  <c r="G25" i="16"/>
  <c r="H29" i="13"/>
  <c r="H25" i="13"/>
  <c r="H21" i="13"/>
  <c r="G32" i="24"/>
  <c r="G28" i="24"/>
  <c r="G24" i="24"/>
  <c r="K41" i="24"/>
  <c r="E61" i="24"/>
  <c r="E41" i="24"/>
  <c r="D33" i="24"/>
  <c r="D29" i="24"/>
  <c r="D25" i="24"/>
  <c r="AF33" i="25" l="1"/>
  <c r="AF32" i="25"/>
  <c r="AF30" i="25"/>
  <c r="AF29" i="25"/>
  <c r="AF27" i="25"/>
  <c r="AF26" i="25"/>
  <c r="AF24" i="25"/>
  <c r="AF23" i="25"/>
  <c r="AF21" i="25"/>
  <c r="AF20" i="25"/>
  <c r="AF18" i="25"/>
  <c r="AF17" i="25"/>
  <c r="Q7" i="25"/>
  <c r="AF34" i="25"/>
  <c r="R7" i="25" s="1"/>
  <c r="Q6" i="25"/>
  <c r="Q5" i="25"/>
  <c r="AF5" i="25"/>
  <c r="R5" i="25" s="1"/>
  <c r="G21" i="23"/>
  <c r="G20" i="23"/>
  <c r="G19" i="23"/>
  <c r="G18" i="23"/>
  <c r="G15" i="16"/>
  <c r="G14" i="16"/>
  <c r="G11" i="16"/>
  <c r="G10" i="16"/>
  <c r="G7" i="16"/>
  <c r="G6" i="16"/>
  <c r="G15" i="13"/>
  <c r="G14" i="13"/>
  <c r="G11" i="13"/>
  <c r="G10" i="13"/>
  <c r="G7" i="13"/>
  <c r="G6" i="13"/>
  <c r="D30" i="22"/>
  <c r="D26" i="22"/>
  <c r="D22" i="22"/>
  <c r="D30" i="21"/>
  <c r="D26" i="21"/>
  <c r="D22" i="21"/>
  <c r="D33" i="20"/>
  <c r="D28" i="20"/>
  <c r="D23" i="20"/>
  <c r="D33" i="19"/>
  <c r="D28" i="19"/>
  <c r="D23" i="19"/>
  <c r="D42" i="16"/>
  <c r="D34" i="16"/>
  <c r="D26" i="16"/>
  <c r="K21" i="25" l="1"/>
  <c r="K20" i="25"/>
  <c r="K19" i="25"/>
  <c r="K18" i="25"/>
  <c r="K17" i="25"/>
  <c r="V5" i="25" l="1"/>
  <c r="V6" i="25"/>
  <c r="D32" i="16" s="1"/>
  <c r="V7" i="25"/>
  <c r="I35" i="8"/>
  <c r="G30" i="8"/>
  <c r="G27" i="8"/>
  <c r="G36" i="8" s="1"/>
  <c r="I27" i="8"/>
  <c r="I36" i="8" s="1"/>
  <c r="H6" i="19"/>
  <c r="O2" i="10" l="1"/>
  <c r="O1" i="10"/>
  <c r="O2" i="29"/>
  <c r="O1" i="29"/>
  <c r="B10" i="29"/>
  <c r="G2" i="11"/>
  <c r="G1" i="11"/>
  <c r="D41" i="16"/>
  <c r="F15" i="19"/>
  <c r="G15" i="19" s="1"/>
  <c r="F14" i="19"/>
  <c r="G14" i="19" s="1"/>
  <c r="F11" i="19"/>
  <c r="G11" i="19" s="1"/>
  <c r="F10" i="19"/>
  <c r="G10" i="19" s="1"/>
  <c r="F7" i="19"/>
  <c r="G7" i="19" s="1"/>
  <c r="F6" i="19"/>
  <c r="G6" i="19" s="1"/>
  <c r="F15" i="20"/>
  <c r="G15" i="20" s="1"/>
  <c r="F14" i="20"/>
  <c r="F11" i="20"/>
  <c r="G11" i="20" s="1"/>
  <c r="F10" i="20"/>
  <c r="F7" i="20"/>
  <c r="G7" i="20" s="1"/>
  <c r="F6" i="20"/>
  <c r="D29" i="21"/>
  <c r="F15" i="21"/>
  <c r="G15" i="21" s="1"/>
  <c r="F14" i="21"/>
  <c r="F11" i="21"/>
  <c r="G11" i="21" s="1"/>
  <c r="F10" i="21"/>
  <c r="F7" i="21"/>
  <c r="G7" i="21" s="1"/>
  <c r="F6" i="21"/>
  <c r="D29" i="22"/>
  <c r="F15" i="22"/>
  <c r="F14" i="22"/>
  <c r="G14" i="22" s="1"/>
  <c r="E29" i="22"/>
  <c r="F11" i="22"/>
  <c r="G11" i="22" s="1"/>
  <c r="F10" i="22"/>
  <c r="F7" i="22"/>
  <c r="G7" i="22" s="1"/>
  <c r="F6" i="22"/>
  <c r="E21" i="22" l="1"/>
  <c r="G6" i="22"/>
  <c r="E26" i="22"/>
  <c r="G10" i="22"/>
  <c r="E30" i="22"/>
  <c r="G15" i="22"/>
  <c r="E22" i="22"/>
  <c r="E22" i="21"/>
  <c r="G6" i="21"/>
  <c r="E25" i="21"/>
  <c r="G10" i="21"/>
  <c r="E30" i="21"/>
  <c r="G14" i="21"/>
  <c r="E28" i="20"/>
  <c r="G10" i="20"/>
  <c r="E23" i="20"/>
  <c r="G6" i="20"/>
  <c r="E33" i="20"/>
  <c r="G14" i="20"/>
  <c r="E27" i="20"/>
  <c r="E29" i="21"/>
  <c r="E26" i="21"/>
  <c r="E32" i="20"/>
  <c r="E25" i="22"/>
  <c r="E22" i="20"/>
  <c r="E21" i="21"/>
  <c r="D45" i="23" l="1"/>
  <c r="D44" i="23"/>
  <c r="D43" i="23"/>
  <c r="D42" i="23"/>
  <c r="D41" i="23"/>
  <c r="X7" i="25"/>
  <c r="D31" i="20" s="1"/>
  <c r="F31" i="20" s="1"/>
  <c r="W7" i="25"/>
  <c r="D31" i="19" s="1"/>
  <c r="D40" i="16"/>
  <c r="U7" i="25"/>
  <c r="D39" i="16" s="1"/>
  <c r="T7" i="25" l="1"/>
  <c r="D38" i="16" s="1"/>
  <c r="F38" i="16" s="1"/>
  <c r="S7" i="25"/>
  <c r="D37" i="16" s="1"/>
  <c r="F37" i="16" s="1"/>
  <c r="P67" i="23"/>
  <c r="P65" i="23"/>
  <c r="O56" i="23"/>
  <c r="G45" i="23"/>
  <c r="G44" i="23"/>
  <c r="C44" i="23"/>
  <c r="G43" i="23"/>
  <c r="F42" i="23"/>
  <c r="F41" i="23"/>
  <c r="J21" i="23"/>
  <c r="H21" i="23"/>
  <c r="I21" i="23" s="1"/>
  <c r="J20" i="23"/>
  <c r="H20" i="23"/>
  <c r="I20" i="23" s="1"/>
  <c r="J19" i="23"/>
  <c r="H19" i="23"/>
  <c r="I19" i="23" s="1"/>
  <c r="J18" i="23"/>
  <c r="H18" i="23"/>
  <c r="I18" i="23" s="1"/>
  <c r="D71" i="22"/>
  <c r="D69" i="22"/>
  <c r="C63" i="22"/>
  <c r="F30" i="22"/>
  <c r="F29" i="22"/>
  <c r="J15" i="22"/>
  <c r="H15" i="22"/>
  <c r="I15" i="22" s="1"/>
  <c r="J14" i="22"/>
  <c r="H14" i="22"/>
  <c r="I14" i="22" s="1"/>
  <c r="D70" i="21"/>
  <c r="D68" i="21"/>
  <c r="C62" i="21"/>
  <c r="F30" i="21"/>
  <c r="F29" i="21"/>
  <c r="J15" i="21"/>
  <c r="H15" i="21"/>
  <c r="I15" i="21" s="1"/>
  <c r="J14" i="21"/>
  <c r="H14" i="21"/>
  <c r="I14" i="21" s="1"/>
  <c r="D75" i="20"/>
  <c r="D73" i="20"/>
  <c r="C66" i="20"/>
  <c r="F33" i="20"/>
  <c r="D32" i="20"/>
  <c r="F32" i="20" s="1"/>
  <c r="J15" i="20"/>
  <c r="H15" i="20"/>
  <c r="I15" i="20" s="1"/>
  <c r="J14" i="20"/>
  <c r="H14" i="20"/>
  <c r="I14" i="20" s="1"/>
  <c r="D75" i="19"/>
  <c r="D73" i="19"/>
  <c r="C66" i="19"/>
  <c r="F33" i="19"/>
  <c r="D32" i="19"/>
  <c r="F32" i="19" s="1"/>
  <c r="F31" i="19"/>
  <c r="J15" i="19"/>
  <c r="H15" i="19"/>
  <c r="I15" i="19" s="1"/>
  <c r="J14" i="19"/>
  <c r="H14" i="19"/>
  <c r="I14" i="19" s="1"/>
  <c r="D90" i="16"/>
  <c r="D88" i="16"/>
  <c r="C78" i="16"/>
  <c r="J15" i="16"/>
  <c r="H15" i="16"/>
  <c r="I15" i="16" s="1"/>
  <c r="J14" i="16"/>
  <c r="H14" i="16"/>
  <c r="I14" i="16" s="1"/>
  <c r="F40" i="16"/>
  <c r="F39" i="16"/>
  <c r="D73" i="13"/>
  <c r="D71" i="13"/>
  <c r="C65" i="13"/>
  <c r="D26" i="13"/>
  <c r="D25" i="13"/>
  <c r="J11" i="13"/>
  <c r="H11" i="13"/>
  <c r="I11" i="13" s="1"/>
  <c r="J10" i="13"/>
  <c r="H10" i="13"/>
  <c r="I10" i="13" s="1"/>
  <c r="E33" i="24"/>
  <c r="E32" i="24"/>
  <c r="H30" i="24"/>
  <c r="J18" i="24"/>
  <c r="H18" i="24"/>
  <c r="G18" i="24"/>
  <c r="J17" i="24"/>
  <c r="H17" i="24"/>
  <c r="G17" i="24"/>
  <c r="J16" i="24"/>
  <c r="H16" i="24"/>
  <c r="G16" i="24"/>
  <c r="D72" i="24"/>
  <c r="D70" i="24"/>
  <c r="C64" i="24"/>
  <c r="P26" i="10"/>
  <c r="O26" i="10"/>
  <c r="N26" i="10"/>
  <c r="M26" i="10"/>
  <c r="L26" i="10"/>
  <c r="K26" i="10"/>
  <c r="J26" i="10"/>
  <c r="I26" i="10"/>
  <c r="H26" i="10"/>
  <c r="G26" i="10"/>
  <c r="F26" i="10"/>
  <c r="E26" i="10"/>
  <c r="P12" i="10"/>
  <c r="O12" i="10"/>
  <c r="N12" i="10"/>
  <c r="M12" i="10"/>
  <c r="L12" i="10"/>
  <c r="K12" i="10"/>
  <c r="J12" i="10"/>
  <c r="I12" i="10"/>
  <c r="H12" i="10"/>
  <c r="G12" i="10"/>
  <c r="F12" i="10"/>
  <c r="E12" i="10"/>
  <c r="P19" i="10"/>
  <c r="O19" i="10"/>
  <c r="N19" i="10"/>
  <c r="M19" i="10"/>
  <c r="L19" i="10"/>
  <c r="K19" i="10"/>
  <c r="J19" i="10"/>
  <c r="I19" i="10"/>
  <c r="H19" i="10"/>
  <c r="G19" i="10"/>
  <c r="F19" i="10"/>
  <c r="E19" i="10"/>
  <c r="B9" i="10"/>
  <c r="B8" i="10"/>
  <c r="B9" i="29"/>
  <c r="B8" i="29"/>
  <c r="B24" i="29"/>
  <c r="B23" i="29"/>
  <c r="B22" i="29"/>
  <c r="B21" i="29"/>
  <c r="B20" i="29"/>
  <c r="B19" i="29"/>
  <c r="B17" i="29"/>
  <c r="B16" i="29"/>
  <c r="B15" i="29"/>
  <c r="B14" i="29"/>
  <c r="B13" i="29"/>
  <c r="B12" i="29"/>
  <c r="G25" i="13" l="1"/>
  <c r="I25" i="13" s="1"/>
  <c r="F25" i="13"/>
  <c r="G26" i="13"/>
  <c r="F26" i="13"/>
  <c r="I16" i="16"/>
  <c r="H41" i="23"/>
  <c r="Q58" i="23" s="1"/>
  <c r="K19" i="23"/>
  <c r="K21" i="23"/>
  <c r="K18" i="23"/>
  <c r="K20" i="23"/>
  <c r="H29" i="22"/>
  <c r="E65" i="22" s="1"/>
  <c r="L15" i="22"/>
  <c r="M15" i="22" s="1"/>
  <c r="E61" i="22" s="1"/>
  <c r="I16" i="22"/>
  <c r="L14" i="22"/>
  <c r="M14" i="22" s="1"/>
  <c r="E60" i="22" s="1"/>
  <c r="K15" i="22"/>
  <c r="K14" i="22"/>
  <c r="H29" i="21"/>
  <c r="E64" i="21" s="1"/>
  <c r="I16" i="21"/>
  <c r="L15" i="21"/>
  <c r="M15" i="21" s="1"/>
  <c r="E60" i="21" s="1"/>
  <c r="L14" i="21"/>
  <c r="M14" i="21" s="1"/>
  <c r="E59" i="21" s="1"/>
  <c r="K14" i="21"/>
  <c r="K15" i="21"/>
  <c r="H32" i="20"/>
  <c r="E69" i="20" s="1"/>
  <c r="L15" i="20"/>
  <c r="M15" i="20" s="1"/>
  <c r="E64" i="20" s="1"/>
  <c r="I16" i="20"/>
  <c r="L14" i="20"/>
  <c r="M14" i="20" s="1"/>
  <c r="E63" i="20" s="1"/>
  <c r="K14" i="20"/>
  <c r="K15" i="20"/>
  <c r="H32" i="19"/>
  <c r="E69" i="19" s="1"/>
  <c r="L15" i="19"/>
  <c r="M15" i="19" s="1"/>
  <c r="E64" i="19" s="1"/>
  <c r="I16" i="19"/>
  <c r="L14" i="19"/>
  <c r="M14" i="19" s="1"/>
  <c r="E63" i="19" s="1"/>
  <c r="K15" i="19"/>
  <c r="K14" i="19"/>
  <c r="L15" i="16"/>
  <c r="M15" i="16" s="1"/>
  <c r="E76" i="16" s="1"/>
  <c r="L14" i="16"/>
  <c r="M14" i="16" s="1"/>
  <c r="E75" i="16" s="1"/>
  <c r="K14" i="16"/>
  <c r="K15" i="16"/>
  <c r="I12" i="13"/>
  <c r="L10" i="13"/>
  <c r="M10" i="13" s="1"/>
  <c r="K40" i="13" s="1"/>
  <c r="L11" i="13"/>
  <c r="M11" i="13" s="1"/>
  <c r="K41" i="13" s="1"/>
  <c r="K11" i="13"/>
  <c r="K10" i="13"/>
  <c r="F32" i="24"/>
  <c r="H32" i="24" s="1"/>
  <c r="E66" i="24" s="1"/>
  <c r="F33" i="24"/>
  <c r="I16" i="24"/>
  <c r="L16" i="24" s="1"/>
  <c r="M16" i="24" s="1"/>
  <c r="I17" i="24"/>
  <c r="L17" i="24" s="1"/>
  <c r="M17" i="24" s="1"/>
  <c r="I18" i="24"/>
  <c r="L18" i="24" s="1"/>
  <c r="M18" i="24" s="1"/>
  <c r="K17" i="24"/>
  <c r="K16" i="24"/>
  <c r="K18" i="24"/>
  <c r="F74" i="16" l="1"/>
  <c r="E62" i="24"/>
  <c r="I19" i="24"/>
  <c r="M16" i="16"/>
  <c r="F62" i="20"/>
  <c r="F62" i="19"/>
  <c r="M16" i="19"/>
  <c r="F59" i="22"/>
  <c r="M16" i="22"/>
  <c r="M16" i="21"/>
  <c r="F58" i="21"/>
  <c r="M16" i="20"/>
  <c r="M12" i="13"/>
  <c r="M19" i="24"/>
  <c r="D12" i="23"/>
  <c r="D6" i="23"/>
  <c r="B78" i="23"/>
  <c r="B77" i="23"/>
  <c r="B76" i="23"/>
  <c r="B75" i="23"/>
  <c r="B74" i="23"/>
  <c r="B73" i="23"/>
  <c r="G15" i="23" l="1"/>
  <c r="G14" i="23"/>
  <c r="G13" i="23"/>
  <c r="G12" i="23"/>
  <c r="G9" i="23"/>
  <c r="G8" i="23"/>
  <c r="G6" i="23"/>
  <c r="G7" i="23"/>
  <c r="F60" i="24"/>
  <c r="E64" i="24" s="1"/>
  <c r="F63" i="24" s="1"/>
  <c r="Q74" i="23"/>
  <c r="E78" i="16"/>
  <c r="F77" i="16" s="1"/>
  <c r="E66" i="20"/>
  <c r="F65" i="20" s="1"/>
  <c r="Q76" i="23"/>
  <c r="E66" i="19"/>
  <c r="F65" i="19" s="1"/>
  <c r="Q75" i="23"/>
  <c r="E62" i="21"/>
  <c r="F61" i="21" s="1"/>
  <c r="Q77" i="23"/>
  <c r="E63" i="22"/>
  <c r="F62" i="22" s="1"/>
  <c r="Q78" i="23"/>
  <c r="F43" i="23"/>
  <c r="H43" i="23" s="1"/>
  <c r="Q60" i="23" s="1"/>
  <c r="F45" i="23"/>
  <c r="H45" i="23" s="1"/>
  <c r="Q62" i="23" s="1"/>
  <c r="F44" i="23"/>
  <c r="H44" i="23" s="1"/>
  <c r="Q61" i="23" s="1"/>
  <c r="L19" i="23"/>
  <c r="M19" i="23" s="1"/>
  <c r="L20" i="23"/>
  <c r="M20" i="23" s="1"/>
  <c r="L21" i="23"/>
  <c r="M21" i="23" s="1"/>
  <c r="W6" i="25"/>
  <c r="D26" i="19" s="1"/>
  <c r="F26" i="19" s="1"/>
  <c r="X6" i="25"/>
  <c r="D26" i="20" s="1"/>
  <c r="F26" i="20" s="1"/>
  <c r="X5" i="25"/>
  <c r="D21" i="20" s="1"/>
  <c r="F21" i="20" s="1"/>
  <c r="W5" i="25"/>
  <c r="D21" i="19" s="1"/>
  <c r="F21" i="19" s="1"/>
  <c r="U5" i="25"/>
  <c r="D23" i="16" s="1"/>
  <c r="F23" i="16" s="1"/>
  <c r="F32" i="16"/>
  <c r="D24" i="16"/>
  <c r="F24" i="16" s="1"/>
  <c r="AF15" i="25" l="1"/>
  <c r="R6" i="25" s="1"/>
  <c r="S6" i="25" s="1"/>
  <c r="D29" i="16" s="1"/>
  <c r="F29" i="16" s="1"/>
  <c r="Q54" i="23"/>
  <c r="I22" i="23"/>
  <c r="L18" i="23"/>
  <c r="M18" i="23" s="1"/>
  <c r="Q53" i="23" s="1"/>
  <c r="S5" i="25"/>
  <c r="D21" i="16" s="1"/>
  <c r="T5" i="25"/>
  <c r="D22" i="16" s="1"/>
  <c r="F22" i="16" s="1"/>
  <c r="T6" i="25" l="1"/>
  <c r="D30" i="16" s="1"/>
  <c r="F30" i="16" s="1"/>
  <c r="U6" i="25"/>
  <c r="D31" i="16" s="1"/>
  <c r="F31" i="16" s="1"/>
  <c r="R52" i="23"/>
  <c r="M22" i="23"/>
  <c r="F21" i="16"/>
  <c r="F42" i="16"/>
  <c r="F41" i="16"/>
  <c r="H41" i="16" s="1"/>
  <c r="E84" i="16" s="1"/>
  <c r="Q56" i="23" l="1"/>
  <c r="R55" i="23" s="1"/>
  <c r="O5" i="11"/>
  <c r="D37" i="23"/>
  <c r="D28" i="23"/>
  <c r="D35" i="23" l="1"/>
  <c r="F37" i="23" l="1"/>
  <c r="D30" i="23"/>
  <c r="F30" i="23" s="1"/>
  <c r="D38" i="23"/>
  <c r="F38" i="23" s="1"/>
  <c r="D36" i="23"/>
  <c r="F36" i="23" s="1"/>
  <c r="F28" i="23"/>
  <c r="D31" i="23"/>
  <c r="F31" i="23" s="1"/>
  <c r="D29" i="23"/>
  <c r="F29" i="23" s="1"/>
  <c r="G38" i="23"/>
  <c r="G37" i="23"/>
  <c r="G36" i="23"/>
  <c r="G31" i="23"/>
  <c r="G30" i="23"/>
  <c r="G29" i="23"/>
  <c r="C37" i="23"/>
  <c r="C30" i="23"/>
  <c r="G26" i="19" l="1"/>
  <c r="H26" i="19" s="1"/>
  <c r="G26" i="20"/>
  <c r="H26" i="20" s="1"/>
  <c r="G21" i="20"/>
  <c r="H21" i="20" s="1"/>
  <c r="E46" i="20" s="1"/>
  <c r="G31" i="19"/>
  <c r="H31" i="19" s="1"/>
  <c r="G21" i="19"/>
  <c r="H21" i="19" s="1"/>
  <c r="G31" i="20"/>
  <c r="H31" i="20" s="1"/>
  <c r="G24" i="16"/>
  <c r="H24" i="16" s="1"/>
  <c r="E58" i="16" s="1"/>
  <c r="G32" i="16"/>
  <c r="H32" i="16" s="1"/>
  <c r="K58" i="16" s="1"/>
  <c r="G40" i="16"/>
  <c r="H40" i="16" s="1"/>
  <c r="E83" i="16" s="1"/>
  <c r="G39" i="16"/>
  <c r="H39" i="16" s="1"/>
  <c r="E82" i="16" s="1"/>
  <c r="G31" i="16"/>
  <c r="H31" i="16" s="1"/>
  <c r="K57" i="16" s="1"/>
  <c r="G23" i="16"/>
  <c r="H23" i="16" s="1"/>
  <c r="E57" i="16" s="1"/>
  <c r="G22" i="16"/>
  <c r="H22" i="16" s="1"/>
  <c r="E56" i="16" s="1"/>
  <c r="G38" i="16"/>
  <c r="H38" i="16" s="1"/>
  <c r="E81" i="16" s="1"/>
  <c r="G30" i="16"/>
  <c r="H30" i="16" s="1"/>
  <c r="K56" i="16" s="1"/>
  <c r="G37" i="16"/>
  <c r="H37" i="16" s="1"/>
  <c r="G21" i="16"/>
  <c r="H21" i="16" s="1"/>
  <c r="E55" i="16" s="1"/>
  <c r="G29" i="16"/>
  <c r="H29" i="16" s="1"/>
  <c r="H31" i="23"/>
  <c r="E62" i="23" s="1"/>
  <c r="H36" i="23"/>
  <c r="K60" i="23" s="1"/>
  <c r="H38" i="23"/>
  <c r="K62" i="23" s="1"/>
  <c r="H30" i="23"/>
  <c r="E61" i="23" s="1"/>
  <c r="H29" i="23"/>
  <c r="E60" i="23" s="1"/>
  <c r="H37" i="23"/>
  <c r="K61" i="23" s="1"/>
  <c r="E29" i="24"/>
  <c r="E28" i="24"/>
  <c r="E25" i="24"/>
  <c r="E24" i="24"/>
  <c r="G13" i="24"/>
  <c r="G12" i="24"/>
  <c r="G11" i="24"/>
  <c r="G7" i="24"/>
  <c r="G8" i="24"/>
  <c r="G6" i="24"/>
  <c r="J52" i="24"/>
  <c r="J50" i="24"/>
  <c r="I44" i="24"/>
  <c r="D52" i="24"/>
  <c r="D50" i="24"/>
  <c r="C44" i="24"/>
  <c r="J13" i="24"/>
  <c r="H13" i="24"/>
  <c r="J12" i="24"/>
  <c r="H12" i="24"/>
  <c r="J11" i="24"/>
  <c r="H11" i="24"/>
  <c r="J8" i="24"/>
  <c r="H8" i="24"/>
  <c r="J7" i="24"/>
  <c r="H7" i="24"/>
  <c r="J6" i="24"/>
  <c r="H6" i="24"/>
  <c r="J14" i="23"/>
  <c r="J13" i="23"/>
  <c r="J8" i="23"/>
  <c r="J7" i="23"/>
  <c r="H14" i="23"/>
  <c r="H13" i="23"/>
  <c r="H8" i="23"/>
  <c r="H7" i="23"/>
  <c r="I7" i="23" s="1"/>
  <c r="J67" i="23"/>
  <c r="J65" i="23"/>
  <c r="I56" i="23"/>
  <c r="D67" i="23"/>
  <c r="D65" i="23"/>
  <c r="C56" i="23"/>
  <c r="F35" i="23"/>
  <c r="D34" i="23"/>
  <c r="F34" i="23" s="1"/>
  <c r="D27" i="23"/>
  <c r="F27" i="23" s="1"/>
  <c r="J15" i="23"/>
  <c r="H15" i="23"/>
  <c r="I15" i="23" s="1"/>
  <c r="J12" i="23"/>
  <c r="H12" i="23"/>
  <c r="I12" i="23" s="1"/>
  <c r="J9" i="23"/>
  <c r="H9" i="23"/>
  <c r="I9" i="23" s="1"/>
  <c r="J6" i="23"/>
  <c r="H6" i="23"/>
  <c r="J50" i="22"/>
  <c r="J48" i="22"/>
  <c r="I42" i="22"/>
  <c r="D50" i="22"/>
  <c r="D48" i="22"/>
  <c r="C42" i="22"/>
  <c r="F26" i="22"/>
  <c r="D25" i="22"/>
  <c r="F25" i="22" s="1"/>
  <c r="F22" i="22"/>
  <c r="D21" i="22"/>
  <c r="F21" i="22" s="1"/>
  <c r="J11" i="22"/>
  <c r="H11" i="22"/>
  <c r="I11" i="22" s="1"/>
  <c r="J10" i="22"/>
  <c r="H10" i="22"/>
  <c r="J7" i="22"/>
  <c r="H7" i="22"/>
  <c r="I7" i="22" s="1"/>
  <c r="J6" i="22"/>
  <c r="H6" i="22"/>
  <c r="I6" i="22" s="1"/>
  <c r="J49" i="21"/>
  <c r="J47" i="21"/>
  <c r="I41" i="21"/>
  <c r="D49" i="21"/>
  <c r="D47" i="21"/>
  <c r="C41" i="21"/>
  <c r="F26" i="21"/>
  <c r="D25" i="21"/>
  <c r="F25" i="21" s="1"/>
  <c r="F22" i="21"/>
  <c r="D21" i="21"/>
  <c r="F21" i="21" s="1"/>
  <c r="J11" i="21"/>
  <c r="H11" i="21"/>
  <c r="I11" i="21" s="1"/>
  <c r="J10" i="21"/>
  <c r="H10" i="21"/>
  <c r="J7" i="21"/>
  <c r="H7" i="21"/>
  <c r="I7" i="21" s="1"/>
  <c r="J6" i="21"/>
  <c r="H6" i="21"/>
  <c r="I6" i="21" s="1"/>
  <c r="J53" i="20"/>
  <c r="J51" i="20"/>
  <c r="I44" i="20"/>
  <c r="D53" i="20"/>
  <c r="D51" i="20"/>
  <c r="C44" i="20"/>
  <c r="F28" i="20"/>
  <c r="D27" i="20"/>
  <c r="F27" i="20" s="1"/>
  <c r="F23" i="20"/>
  <c r="D22" i="20"/>
  <c r="F22" i="20" s="1"/>
  <c r="J11" i="20"/>
  <c r="H11" i="20"/>
  <c r="I11" i="20" s="1"/>
  <c r="J10" i="20"/>
  <c r="H10" i="20"/>
  <c r="I10" i="20" s="1"/>
  <c r="J7" i="20"/>
  <c r="H7" i="20"/>
  <c r="I7" i="20" s="1"/>
  <c r="J6" i="20"/>
  <c r="H6" i="20"/>
  <c r="I6" i="20" s="1"/>
  <c r="J53" i="19"/>
  <c r="J51" i="19"/>
  <c r="I44" i="19"/>
  <c r="D53" i="19"/>
  <c r="D51" i="19"/>
  <c r="C44" i="19"/>
  <c r="F28" i="19"/>
  <c r="D27" i="19"/>
  <c r="F27" i="19" s="1"/>
  <c r="F23" i="19"/>
  <c r="D22" i="19"/>
  <c r="F22" i="19" s="1"/>
  <c r="J11" i="19"/>
  <c r="H11" i="19"/>
  <c r="J10" i="19"/>
  <c r="H10" i="19"/>
  <c r="J7" i="19"/>
  <c r="H7" i="19"/>
  <c r="I7" i="19" s="1"/>
  <c r="J6" i="19"/>
  <c r="I6" i="19"/>
  <c r="I53" i="16"/>
  <c r="C53" i="16"/>
  <c r="J65" i="16"/>
  <c r="J63" i="16"/>
  <c r="D65" i="16"/>
  <c r="D63" i="16"/>
  <c r="F34" i="16"/>
  <c r="D33" i="16"/>
  <c r="F33" i="16" s="1"/>
  <c r="D25" i="16"/>
  <c r="J51" i="13"/>
  <c r="J49" i="13"/>
  <c r="I43" i="13"/>
  <c r="D51" i="13"/>
  <c r="D49" i="13"/>
  <c r="C43" i="13"/>
  <c r="D29" i="13"/>
  <c r="D30" i="13"/>
  <c r="D22" i="13"/>
  <c r="F22" i="13" s="1"/>
  <c r="D21" i="13"/>
  <c r="F21" i="13" s="1"/>
  <c r="G30" i="13" l="1"/>
  <c r="F30" i="13"/>
  <c r="G29" i="13"/>
  <c r="F29" i="13"/>
  <c r="E68" i="19"/>
  <c r="E68" i="20"/>
  <c r="E80" i="16"/>
  <c r="K46" i="20"/>
  <c r="K46" i="19"/>
  <c r="E46" i="19"/>
  <c r="K55" i="16"/>
  <c r="H21" i="22"/>
  <c r="E44" i="22" s="1"/>
  <c r="K6" i="24"/>
  <c r="K11" i="19"/>
  <c r="F25" i="24"/>
  <c r="K6" i="22"/>
  <c r="K10" i="21"/>
  <c r="K7" i="22"/>
  <c r="K7" i="21"/>
  <c r="K8" i="24"/>
  <c r="K12" i="24"/>
  <c r="F29" i="24"/>
  <c r="I12" i="24"/>
  <c r="L12" i="24" s="1"/>
  <c r="M12" i="24" s="1"/>
  <c r="K6" i="20"/>
  <c r="K10" i="19"/>
  <c r="K11" i="20"/>
  <c r="K7" i="24"/>
  <c r="K11" i="21"/>
  <c r="K10" i="22"/>
  <c r="H25" i="22"/>
  <c r="K7" i="20"/>
  <c r="H27" i="20"/>
  <c r="K11" i="22"/>
  <c r="I29" i="13"/>
  <c r="E67" i="13" s="1"/>
  <c r="K13" i="23"/>
  <c r="K6" i="23"/>
  <c r="K8" i="23"/>
  <c r="K14" i="23"/>
  <c r="L7" i="23"/>
  <c r="M7" i="23" s="1"/>
  <c r="I13" i="23"/>
  <c r="L13" i="23" s="1"/>
  <c r="M13" i="23" s="1"/>
  <c r="K7" i="23"/>
  <c r="K12" i="23"/>
  <c r="I14" i="23"/>
  <c r="L14" i="23" s="1"/>
  <c r="M14" i="23" s="1"/>
  <c r="K9" i="23"/>
  <c r="I8" i="23"/>
  <c r="L8" i="23" s="1"/>
  <c r="M8" i="23" s="1"/>
  <c r="F28" i="24"/>
  <c r="H28" i="24" s="1"/>
  <c r="F24" i="24"/>
  <c r="H24" i="24" s="1"/>
  <c r="K11" i="24"/>
  <c r="K13" i="24"/>
  <c r="I11" i="24"/>
  <c r="I13" i="24"/>
  <c r="L13" i="24" s="1"/>
  <c r="M13" i="24" s="1"/>
  <c r="I6" i="24"/>
  <c r="I7" i="24"/>
  <c r="I8" i="24"/>
  <c r="K15" i="23"/>
  <c r="H27" i="23"/>
  <c r="E58" i="23" s="1"/>
  <c r="L15" i="23"/>
  <c r="M15" i="23" s="1"/>
  <c r="L12" i="23"/>
  <c r="M12" i="23" s="1"/>
  <c r="H34" i="23"/>
  <c r="K58" i="23" s="1"/>
  <c r="I6" i="23"/>
  <c r="I8" i="22"/>
  <c r="L6" i="22"/>
  <c r="M6" i="22" s="1"/>
  <c r="E39" i="22" s="1"/>
  <c r="L7" i="22"/>
  <c r="M7" i="22" s="1"/>
  <c r="E40" i="22" s="1"/>
  <c r="I10" i="22"/>
  <c r="L7" i="21"/>
  <c r="M7" i="21" s="1"/>
  <c r="E39" i="21" s="1"/>
  <c r="H25" i="21"/>
  <c r="I8" i="21"/>
  <c r="L6" i="21"/>
  <c r="M6" i="21" s="1"/>
  <c r="E38" i="21" s="1"/>
  <c r="H21" i="21"/>
  <c r="K6" i="21"/>
  <c r="I10" i="21"/>
  <c r="I8" i="20"/>
  <c r="L6" i="20"/>
  <c r="M6" i="20" s="1"/>
  <c r="E41" i="20" s="1"/>
  <c r="L10" i="20"/>
  <c r="M10" i="20" s="1"/>
  <c r="K41" i="20" s="1"/>
  <c r="H22" i="20"/>
  <c r="E47" i="20" s="1"/>
  <c r="L7" i="20"/>
  <c r="M7" i="20" s="1"/>
  <c r="E42" i="20" s="1"/>
  <c r="K10" i="20"/>
  <c r="H22" i="19"/>
  <c r="L7" i="19"/>
  <c r="M7" i="19" s="1"/>
  <c r="E42" i="19" s="1"/>
  <c r="I8" i="19"/>
  <c r="L6" i="19"/>
  <c r="M6" i="19" s="1"/>
  <c r="E41" i="19" s="1"/>
  <c r="H27" i="19"/>
  <c r="K6" i="19"/>
  <c r="K7" i="19"/>
  <c r="I10" i="19"/>
  <c r="I11" i="19"/>
  <c r="H33" i="16"/>
  <c r="I14" i="24" l="1"/>
  <c r="K42" i="24"/>
  <c r="F38" i="22"/>
  <c r="F40" i="19"/>
  <c r="M8" i="19"/>
  <c r="F37" i="21"/>
  <c r="K45" i="13"/>
  <c r="K59" i="16"/>
  <c r="E43" i="21"/>
  <c r="K47" i="20"/>
  <c r="K43" i="21"/>
  <c r="E47" i="19"/>
  <c r="K47" i="19"/>
  <c r="K44" i="22"/>
  <c r="K46" i="24"/>
  <c r="E46" i="24"/>
  <c r="I12" i="20"/>
  <c r="K54" i="23"/>
  <c r="I16" i="23"/>
  <c r="L11" i="24"/>
  <c r="M11" i="24" s="1"/>
  <c r="L8" i="24"/>
  <c r="M8" i="24" s="1"/>
  <c r="I9" i="24"/>
  <c r="L6" i="24"/>
  <c r="M6" i="24" s="1"/>
  <c r="L7" i="24"/>
  <c r="M7" i="24" s="1"/>
  <c r="M16" i="23"/>
  <c r="K53" i="23"/>
  <c r="L9" i="23"/>
  <c r="M9" i="23" s="1"/>
  <c r="E54" i="23" s="1"/>
  <c r="L6" i="23"/>
  <c r="M6" i="23" s="1"/>
  <c r="E53" i="23" s="1"/>
  <c r="I10" i="23"/>
  <c r="M8" i="22"/>
  <c r="L11" i="22"/>
  <c r="M11" i="22" s="1"/>
  <c r="K40" i="22" s="1"/>
  <c r="L10" i="22"/>
  <c r="M10" i="22" s="1"/>
  <c r="K39" i="22" s="1"/>
  <c r="I12" i="22"/>
  <c r="M8" i="21"/>
  <c r="L11" i="21"/>
  <c r="M11" i="21" s="1"/>
  <c r="K39" i="21" s="1"/>
  <c r="L10" i="21"/>
  <c r="M10" i="21" s="1"/>
  <c r="K38" i="21" s="1"/>
  <c r="I12" i="21"/>
  <c r="M8" i="20"/>
  <c r="F40" i="20"/>
  <c r="L11" i="20"/>
  <c r="M11" i="20" s="1"/>
  <c r="K42" i="20" s="1"/>
  <c r="L11" i="19"/>
  <c r="M11" i="19" s="1"/>
  <c r="K42" i="19" s="1"/>
  <c r="L10" i="19"/>
  <c r="M10" i="19" s="1"/>
  <c r="K41" i="19" s="1"/>
  <c r="I12" i="19"/>
  <c r="E42" i="24" l="1"/>
  <c r="M14" i="24"/>
  <c r="L40" i="24"/>
  <c r="K44" i="24" s="1"/>
  <c r="L43" i="24" s="1"/>
  <c r="M12" i="19"/>
  <c r="L40" i="19"/>
  <c r="E41" i="21"/>
  <c r="F40" i="21" s="1"/>
  <c r="E77" i="23"/>
  <c r="E42" i="22"/>
  <c r="F41" i="22" s="1"/>
  <c r="E78" i="23"/>
  <c r="E44" i="19"/>
  <c r="F43" i="19" s="1"/>
  <c r="E75" i="23"/>
  <c r="E44" i="20"/>
  <c r="F43" i="20" s="1"/>
  <c r="E76" i="23"/>
  <c r="M12" i="20"/>
  <c r="L52" i="23"/>
  <c r="K56" i="23" s="1"/>
  <c r="L55" i="23" s="1"/>
  <c r="M9" i="24"/>
  <c r="F52" i="23"/>
  <c r="E56" i="23" s="1"/>
  <c r="F55" i="23" s="1"/>
  <c r="M10" i="23"/>
  <c r="L38" i="22"/>
  <c r="M12" i="22"/>
  <c r="L37" i="21"/>
  <c r="M12" i="21"/>
  <c r="L40" i="20"/>
  <c r="K41" i="21" l="1"/>
  <c r="L40" i="21" s="1"/>
  <c r="K77" i="23"/>
  <c r="K42" i="22"/>
  <c r="L41" i="22" s="1"/>
  <c r="K78" i="23"/>
  <c r="K44" i="19"/>
  <c r="L43" i="19" s="1"/>
  <c r="K75" i="23"/>
  <c r="K44" i="20"/>
  <c r="L43" i="20" s="1"/>
  <c r="K76" i="23"/>
  <c r="F40" i="24"/>
  <c r="E44" i="24" s="1"/>
  <c r="F43" i="24" s="1"/>
  <c r="F26" i="16" l="1"/>
  <c r="F25" i="16"/>
  <c r="J11" i="16"/>
  <c r="H11" i="16"/>
  <c r="I11" i="16" s="1"/>
  <c r="J10" i="16"/>
  <c r="H10" i="16"/>
  <c r="J7" i="16"/>
  <c r="H7" i="16"/>
  <c r="I7" i="16" s="1"/>
  <c r="J6" i="16"/>
  <c r="H6" i="16"/>
  <c r="I6" i="16" s="1"/>
  <c r="E4" i="15"/>
  <c r="E3" i="15"/>
  <c r="G22" i="13"/>
  <c r="G21" i="13"/>
  <c r="E5" i="15" l="1"/>
  <c r="I21" i="13"/>
  <c r="K11" i="16"/>
  <c r="K6" i="16"/>
  <c r="L11" i="16"/>
  <c r="M11" i="16" s="1"/>
  <c r="K51" i="16" s="1"/>
  <c r="K7" i="16"/>
  <c r="H25" i="16"/>
  <c r="K10" i="16"/>
  <c r="I10" i="16"/>
  <c r="I12" i="16" s="1"/>
  <c r="L6" i="16"/>
  <c r="M6" i="16" s="1"/>
  <c r="E50" i="16" s="1"/>
  <c r="L7" i="16"/>
  <c r="M7" i="16" s="1"/>
  <c r="E51" i="16" s="1"/>
  <c r="G33" i="24" l="1"/>
  <c r="H33" i="24" s="1"/>
  <c r="G42" i="16"/>
  <c r="H42" i="16" s="1"/>
  <c r="G25" i="24"/>
  <c r="H25" i="24" s="1"/>
  <c r="G29" i="24"/>
  <c r="H29" i="24" s="1"/>
  <c r="G34" i="16"/>
  <c r="H34" i="16" s="1"/>
  <c r="H35" i="16" s="1"/>
  <c r="G26" i="16"/>
  <c r="H26" i="16" s="1"/>
  <c r="E60" i="16" s="1"/>
  <c r="G42" i="23"/>
  <c r="H42" i="23" s="1"/>
  <c r="G28" i="23"/>
  <c r="H28" i="23" s="1"/>
  <c r="G35" i="23"/>
  <c r="H35" i="23" s="1"/>
  <c r="G30" i="21"/>
  <c r="H30" i="21" s="1"/>
  <c r="G33" i="20"/>
  <c r="H33" i="20" s="1"/>
  <c r="G33" i="19"/>
  <c r="H33" i="19" s="1"/>
  <c r="H30" i="13"/>
  <c r="I30" i="13" s="1"/>
  <c r="H26" i="13"/>
  <c r="I26" i="13" s="1"/>
  <c r="I27" i="13" s="1"/>
  <c r="G30" i="22"/>
  <c r="H30" i="22" s="1"/>
  <c r="H22" i="13"/>
  <c r="I22" i="13" s="1"/>
  <c r="E46" i="13" s="1"/>
  <c r="I8" i="16"/>
  <c r="E59" i="16"/>
  <c r="E45" i="13"/>
  <c r="G26" i="21"/>
  <c r="H26" i="21" s="1"/>
  <c r="G23" i="20"/>
  <c r="H23" i="20" s="1"/>
  <c r="G23" i="19"/>
  <c r="H23" i="19" s="1"/>
  <c r="H24" i="19" s="1"/>
  <c r="G22" i="22"/>
  <c r="H22" i="22" s="1"/>
  <c r="G28" i="20"/>
  <c r="H28" i="20" s="1"/>
  <c r="H29" i="20" s="1"/>
  <c r="G26" i="22"/>
  <c r="H26" i="22" s="1"/>
  <c r="G22" i="21"/>
  <c r="H22" i="21" s="1"/>
  <c r="G28" i="19"/>
  <c r="H28" i="19" s="1"/>
  <c r="H29" i="19" s="1"/>
  <c r="L10" i="16"/>
  <c r="M10" i="16" s="1"/>
  <c r="K50" i="16" s="1"/>
  <c r="J15" i="13"/>
  <c r="H15" i="13"/>
  <c r="I15" i="13" s="1"/>
  <c r="J14" i="13"/>
  <c r="H14" i="13"/>
  <c r="I14" i="13" s="1"/>
  <c r="J7" i="13"/>
  <c r="H7" i="13"/>
  <c r="I7" i="13" s="1"/>
  <c r="J6" i="13"/>
  <c r="H6" i="13"/>
  <c r="I6" i="13" s="1"/>
  <c r="H39" i="23" l="1"/>
  <c r="K59" i="23"/>
  <c r="L57" i="23" s="1"/>
  <c r="L63" i="23" s="1"/>
  <c r="H32" i="23"/>
  <c r="E59" i="23"/>
  <c r="F57" i="23" s="1"/>
  <c r="F63" i="23" s="1"/>
  <c r="E70" i="19"/>
  <c r="F67" i="19" s="1"/>
  <c r="F71" i="19" s="1"/>
  <c r="F72" i="19" s="1"/>
  <c r="F74" i="19" s="1"/>
  <c r="H34" i="19"/>
  <c r="E70" i="20"/>
  <c r="F67" i="20" s="1"/>
  <c r="F71" i="20" s="1"/>
  <c r="F72" i="20" s="1"/>
  <c r="F74" i="20" s="1"/>
  <c r="H34" i="20"/>
  <c r="E66" i="22"/>
  <c r="F64" i="22" s="1"/>
  <c r="F67" i="22" s="1"/>
  <c r="F68" i="22" s="1"/>
  <c r="F70" i="22" s="1"/>
  <c r="H31" i="22"/>
  <c r="I31" i="13"/>
  <c r="E68" i="13"/>
  <c r="F66" i="13" s="1"/>
  <c r="E85" i="16"/>
  <c r="F79" i="16" s="1"/>
  <c r="F86" i="16" s="1"/>
  <c r="F87" i="16" s="1"/>
  <c r="F89" i="16" s="1"/>
  <c r="H43" i="16"/>
  <c r="Q59" i="23"/>
  <c r="R57" i="23" s="1"/>
  <c r="R63" i="23" s="1"/>
  <c r="R64" i="23" s="1"/>
  <c r="R66" i="23" s="1"/>
  <c r="R68" i="23" s="1"/>
  <c r="R69" i="23" s="1"/>
  <c r="H46" i="23"/>
  <c r="E67" i="24"/>
  <c r="F65" i="24" s="1"/>
  <c r="F68" i="24" s="1"/>
  <c r="H34" i="24"/>
  <c r="H24" i="20"/>
  <c r="E48" i="20"/>
  <c r="E65" i="21"/>
  <c r="F63" i="21" s="1"/>
  <c r="F66" i="21" s="1"/>
  <c r="F67" i="21" s="1"/>
  <c r="F69" i="21" s="1"/>
  <c r="H31" i="21"/>
  <c r="M12" i="16"/>
  <c r="L49" i="16"/>
  <c r="M8" i="16"/>
  <c r="F44" i="13"/>
  <c r="H27" i="16"/>
  <c r="F54" i="16"/>
  <c r="I23" i="13"/>
  <c r="E47" i="24"/>
  <c r="F45" i="24" s="1"/>
  <c r="F48" i="24" s="1"/>
  <c r="H26" i="24"/>
  <c r="K60" i="16"/>
  <c r="L54" i="16" s="1"/>
  <c r="K45" i="22"/>
  <c r="L43" i="22" s="1"/>
  <c r="L46" i="22" s="1"/>
  <c r="H27" i="22"/>
  <c r="K48" i="20"/>
  <c r="K48" i="19"/>
  <c r="E45" i="22"/>
  <c r="F43" i="22" s="1"/>
  <c r="F46" i="22" s="1"/>
  <c r="H23" i="22"/>
  <c r="K44" i="21"/>
  <c r="L42" i="21" s="1"/>
  <c r="L45" i="21" s="1"/>
  <c r="H27" i="21"/>
  <c r="E48" i="19"/>
  <c r="E44" i="21"/>
  <c r="F42" i="21" s="1"/>
  <c r="F45" i="21" s="1"/>
  <c r="H23" i="21"/>
  <c r="K46" i="13"/>
  <c r="L44" i="13" s="1"/>
  <c r="K47" i="24"/>
  <c r="L45" i="24" s="1"/>
  <c r="L48" i="24" s="1"/>
  <c r="I8" i="13"/>
  <c r="F49" i="16"/>
  <c r="L6" i="13"/>
  <c r="M6" i="13" s="1"/>
  <c r="E40" i="13" s="1"/>
  <c r="L15" i="13"/>
  <c r="M15" i="13" s="1"/>
  <c r="E63" i="13" s="1"/>
  <c r="L7" i="13"/>
  <c r="M7" i="13" s="1"/>
  <c r="E41" i="13" s="1"/>
  <c r="L14" i="13"/>
  <c r="M14" i="13" s="1"/>
  <c r="E62" i="13" s="1"/>
  <c r="I16" i="13"/>
  <c r="K6" i="13"/>
  <c r="K7" i="13"/>
  <c r="K14" i="13"/>
  <c r="K15" i="13"/>
  <c r="F69" i="24" l="1"/>
  <c r="F71" i="24" s="1"/>
  <c r="F73" i="24" s="1"/>
  <c r="F74" i="24" s="1"/>
  <c r="F9" i="11" s="1"/>
  <c r="G9" i="11" s="1"/>
  <c r="D10" i="29" s="1"/>
  <c r="F61" i="13"/>
  <c r="F45" i="20"/>
  <c r="F49" i="20" s="1"/>
  <c r="F50" i="20" s="1"/>
  <c r="F52" i="20" s="1"/>
  <c r="F45" i="19"/>
  <c r="F49" i="19" s="1"/>
  <c r="F50" i="19" s="1"/>
  <c r="F52" i="19" s="1"/>
  <c r="L45" i="19"/>
  <c r="L49" i="19" s="1"/>
  <c r="L45" i="20"/>
  <c r="L49" i="20" s="1"/>
  <c r="L50" i="20" s="1"/>
  <c r="L52" i="20" s="1"/>
  <c r="E53" i="16"/>
  <c r="F52" i="16" s="1"/>
  <c r="F61" i="16" s="1"/>
  <c r="F62" i="16" s="1"/>
  <c r="E74" i="23"/>
  <c r="K53" i="16"/>
  <c r="L52" i="16" s="1"/>
  <c r="L61" i="16" s="1"/>
  <c r="L62" i="16" s="1"/>
  <c r="L64" i="16" s="1"/>
  <c r="K74" i="23"/>
  <c r="F46" i="21"/>
  <c r="F48" i="21" s="1"/>
  <c r="F64" i="23"/>
  <c r="F66" i="23" s="1"/>
  <c r="F68" i="23" s="1"/>
  <c r="L64" i="23"/>
  <c r="L66" i="23" s="1"/>
  <c r="L68" i="23" s="1"/>
  <c r="F47" i="22"/>
  <c r="F49" i="22" s="1"/>
  <c r="L49" i="24"/>
  <c r="L51" i="24" s="1"/>
  <c r="L53" i="24" s="1"/>
  <c r="L54" i="24" s="1"/>
  <c r="F8" i="11" s="1"/>
  <c r="G8" i="11" s="1"/>
  <c r="D9" i="29" s="1"/>
  <c r="L46" i="21"/>
  <c r="L48" i="21" s="1"/>
  <c r="L47" i="22"/>
  <c r="L49" i="22" s="1"/>
  <c r="F49" i="24"/>
  <c r="F51" i="24" s="1"/>
  <c r="F53" i="24" s="1"/>
  <c r="F54" i="24" s="1"/>
  <c r="F7" i="11" s="1"/>
  <c r="G7" i="11" s="1"/>
  <c r="D8" i="29" s="1"/>
  <c r="F39" i="13"/>
  <c r="M8" i="13"/>
  <c r="L39" i="13"/>
  <c r="M16" i="13"/>
  <c r="M10" i="29" l="1"/>
  <c r="I10" i="29"/>
  <c r="E10" i="29"/>
  <c r="M9" i="29"/>
  <c r="I9" i="29"/>
  <c r="E9" i="29"/>
  <c r="M8" i="29"/>
  <c r="I8" i="29"/>
  <c r="E8" i="29"/>
  <c r="J10" i="29"/>
  <c r="J9" i="29"/>
  <c r="J8" i="29"/>
  <c r="P10" i="29"/>
  <c r="L10" i="29"/>
  <c r="H10" i="29"/>
  <c r="P9" i="29"/>
  <c r="L9" i="29"/>
  <c r="H9" i="29"/>
  <c r="P8" i="29"/>
  <c r="L8" i="29"/>
  <c r="H8" i="29"/>
  <c r="N10" i="29"/>
  <c r="N9" i="29"/>
  <c r="F9" i="29"/>
  <c r="F8" i="29"/>
  <c r="O10" i="29"/>
  <c r="K10" i="29"/>
  <c r="G10" i="29"/>
  <c r="O9" i="29"/>
  <c r="K9" i="29"/>
  <c r="G9" i="29"/>
  <c r="O8" i="29"/>
  <c r="K8" i="29"/>
  <c r="G8" i="29"/>
  <c r="F10" i="29"/>
  <c r="N8" i="29"/>
  <c r="E65" i="13"/>
  <c r="F64" i="13" s="1"/>
  <c r="F69" i="13" s="1"/>
  <c r="F70" i="13" s="1"/>
  <c r="F72" i="13" s="1"/>
  <c r="Q73" i="23"/>
  <c r="L50" i="19"/>
  <c r="L52" i="19" s="1"/>
  <c r="K43" i="13"/>
  <c r="L42" i="13" s="1"/>
  <c r="L47" i="13" s="1"/>
  <c r="L48" i="13" s="1"/>
  <c r="L50" i="13" s="1"/>
  <c r="K73" i="23"/>
  <c r="E43" i="13"/>
  <c r="F42" i="13" s="1"/>
  <c r="F47" i="13" s="1"/>
  <c r="E73" i="23"/>
  <c r="L69" i="23"/>
  <c r="F69" i="23"/>
  <c r="F64" i="16"/>
  <c r="Q79" i="23" l="1"/>
  <c r="S73" i="23" s="1"/>
  <c r="R73" i="23" s="1"/>
  <c r="E75" i="13" s="1"/>
  <c r="F74" i="13" s="1"/>
  <c r="F76" i="13" s="1"/>
  <c r="F77" i="13" s="1"/>
  <c r="F39" i="11" s="1"/>
  <c r="G39" i="11" s="1"/>
  <c r="D27" i="29" s="1"/>
  <c r="E79" i="23"/>
  <c r="K79" i="23"/>
  <c r="M73" i="23" s="1"/>
  <c r="L73" i="23" s="1"/>
  <c r="F48" i="13"/>
  <c r="F50" i="13" s="1"/>
  <c r="I27" i="29" l="1"/>
  <c r="P27" i="29"/>
  <c r="E27" i="29"/>
  <c r="G27" i="29"/>
  <c r="L27" i="29"/>
  <c r="M27" i="29"/>
  <c r="K27" i="29"/>
  <c r="F27" i="29"/>
  <c r="O27" i="29"/>
  <c r="J27" i="29"/>
  <c r="H27" i="29"/>
  <c r="N27" i="29"/>
  <c r="S78" i="23"/>
  <c r="R78" i="23" s="1"/>
  <c r="E73" i="22" s="1"/>
  <c r="F72" i="22" s="1"/>
  <c r="F74" i="22" s="1"/>
  <c r="F49" i="11" s="1"/>
  <c r="G49" i="11" s="1"/>
  <c r="S76" i="23"/>
  <c r="R76" i="23" s="1"/>
  <c r="E77" i="20" s="1"/>
  <c r="F76" i="20" s="1"/>
  <c r="F78" i="20" s="1"/>
  <c r="F45" i="11" s="1"/>
  <c r="G45" i="11" s="1"/>
  <c r="D30" i="29" s="1"/>
  <c r="S75" i="23"/>
  <c r="R75" i="23" s="1"/>
  <c r="E77" i="19" s="1"/>
  <c r="F76" i="19" s="1"/>
  <c r="F78" i="19" s="1"/>
  <c r="F43" i="11" s="1"/>
  <c r="G43" i="11" s="1"/>
  <c r="D29" i="29" s="1"/>
  <c r="S74" i="23"/>
  <c r="R74" i="23" s="1"/>
  <c r="E92" i="16" s="1"/>
  <c r="F91" i="16" s="1"/>
  <c r="F93" i="16" s="1"/>
  <c r="F41" i="11" s="1"/>
  <c r="G41" i="11" s="1"/>
  <c r="S77" i="23"/>
  <c r="R77" i="23" s="1"/>
  <c r="E72" i="21" s="1"/>
  <c r="F71" i="21" s="1"/>
  <c r="F73" i="21" s="1"/>
  <c r="F47" i="11" s="1"/>
  <c r="G47" i="11" s="1"/>
  <c r="D31" i="29" s="1"/>
  <c r="K53" i="13"/>
  <c r="L52" i="13" s="1"/>
  <c r="L54" i="13" s="1"/>
  <c r="L55" i="13" s="1"/>
  <c r="M76" i="23"/>
  <c r="L76" i="23" s="1"/>
  <c r="K55" i="20" s="1"/>
  <c r="L54" i="20" s="1"/>
  <c r="L56" i="20" s="1"/>
  <c r="F31" i="11" s="1"/>
  <c r="G31" i="11" s="1"/>
  <c r="M75" i="23"/>
  <c r="L75" i="23" s="1"/>
  <c r="K55" i="19" s="1"/>
  <c r="L54" i="19" s="1"/>
  <c r="L56" i="19" s="1"/>
  <c r="F29" i="11" s="1"/>
  <c r="G29" i="11" s="1"/>
  <c r="M78" i="23"/>
  <c r="L78" i="23" s="1"/>
  <c r="K52" i="22" s="1"/>
  <c r="L51" i="22" s="1"/>
  <c r="L53" i="22" s="1"/>
  <c r="F35" i="11" s="1"/>
  <c r="G35" i="11" s="1"/>
  <c r="M74" i="23"/>
  <c r="L74" i="23" s="1"/>
  <c r="K67" i="16" s="1"/>
  <c r="L66" i="16" s="1"/>
  <c r="L68" i="16" s="1"/>
  <c r="F27" i="11" s="1"/>
  <c r="G27" i="11" s="1"/>
  <c r="M77" i="23"/>
  <c r="L77" i="23" s="1"/>
  <c r="K51" i="21" s="1"/>
  <c r="L50" i="21" s="1"/>
  <c r="L52" i="21" s="1"/>
  <c r="F33" i="11" s="1"/>
  <c r="G33" i="11" s="1"/>
  <c r="G75" i="23"/>
  <c r="F75" i="23" s="1"/>
  <c r="E55" i="19" s="1"/>
  <c r="F54" i="19" s="1"/>
  <c r="F56" i="19" s="1"/>
  <c r="F16" i="11" s="1"/>
  <c r="G16" i="11" s="1"/>
  <c r="D14" i="29" s="1"/>
  <c r="G78" i="23"/>
  <c r="F78" i="23" s="1"/>
  <c r="E52" i="22" s="1"/>
  <c r="F51" i="22" s="1"/>
  <c r="F53" i="22" s="1"/>
  <c r="F22" i="11" s="1"/>
  <c r="G22" i="11" s="1"/>
  <c r="D17" i="29" s="1"/>
  <c r="G74" i="23"/>
  <c r="F74" i="23" s="1"/>
  <c r="E67" i="16" s="1"/>
  <c r="F66" i="16" s="1"/>
  <c r="F68" i="16" s="1"/>
  <c r="F14" i="11" s="1"/>
  <c r="G14" i="11" s="1"/>
  <c r="D13" i="29" s="1"/>
  <c r="G77" i="23"/>
  <c r="F77" i="23" s="1"/>
  <c r="E51" i="21" s="1"/>
  <c r="F50" i="21" s="1"/>
  <c r="F52" i="21" s="1"/>
  <c r="F20" i="11" s="1"/>
  <c r="G20" i="11" s="1"/>
  <c r="D16" i="29" s="1"/>
  <c r="G76" i="23"/>
  <c r="F76" i="23" s="1"/>
  <c r="E55" i="20" s="1"/>
  <c r="F54" i="20" s="1"/>
  <c r="F56" i="20" s="1"/>
  <c r="F18" i="11" s="1"/>
  <c r="G18" i="11" s="1"/>
  <c r="D15" i="29" s="1"/>
  <c r="G73" i="23"/>
  <c r="F73" i="23" s="1"/>
  <c r="D32" i="29" l="1"/>
  <c r="F32" i="29" s="1"/>
  <c r="G50" i="11"/>
  <c r="P31" i="29"/>
  <c r="I31" i="29"/>
  <c r="G31" i="29"/>
  <c r="E31" i="29"/>
  <c r="O31" i="29"/>
  <c r="F31" i="29"/>
  <c r="J31" i="29"/>
  <c r="L31" i="29"/>
  <c r="N31" i="29"/>
  <c r="K31" i="29"/>
  <c r="M31" i="29"/>
  <c r="H31" i="29"/>
  <c r="I29" i="29"/>
  <c r="H29" i="29"/>
  <c r="K29" i="29"/>
  <c r="P29" i="29"/>
  <c r="E29" i="29"/>
  <c r="J29" i="29"/>
  <c r="F29" i="29"/>
  <c r="M29" i="29"/>
  <c r="G29" i="29"/>
  <c r="L29" i="29"/>
  <c r="O29" i="29"/>
  <c r="N29" i="29"/>
  <c r="J30" i="29"/>
  <c r="I30" i="29"/>
  <c r="N30" i="29"/>
  <c r="L30" i="29"/>
  <c r="F30" i="29"/>
  <c r="E30" i="29"/>
  <c r="K30" i="29"/>
  <c r="G30" i="29"/>
  <c r="O30" i="29"/>
  <c r="M30" i="29"/>
  <c r="H30" i="29"/>
  <c r="P30" i="29"/>
  <c r="D28" i="29"/>
  <c r="M16" i="29"/>
  <c r="I16" i="29"/>
  <c r="E16" i="29"/>
  <c r="P16" i="29"/>
  <c r="L16" i="29"/>
  <c r="H16" i="29"/>
  <c r="J16" i="29"/>
  <c r="F16" i="29"/>
  <c r="O16" i="29"/>
  <c r="K16" i="29"/>
  <c r="G16" i="29"/>
  <c r="N16" i="29"/>
  <c r="M15" i="29"/>
  <c r="I15" i="29"/>
  <c r="E15" i="29"/>
  <c r="N15" i="29"/>
  <c r="P15" i="29"/>
  <c r="L15" i="29"/>
  <c r="H15" i="29"/>
  <c r="F15" i="29"/>
  <c r="O15" i="29"/>
  <c r="K15" i="29"/>
  <c r="G15" i="29"/>
  <c r="J15" i="29"/>
  <c r="M13" i="29"/>
  <c r="I13" i="29"/>
  <c r="E13" i="29"/>
  <c r="N13" i="29"/>
  <c r="F13" i="29"/>
  <c r="P13" i="29"/>
  <c r="L13" i="29"/>
  <c r="H13" i="29"/>
  <c r="O13" i="29"/>
  <c r="K13" i="29"/>
  <c r="G13" i="29"/>
  <c r="J13" i="29"/>
  <c r="M14" i="29"/>
  <c r="I14" i="29"/>
  <c r="E14" i="29"/>
  <c r="N14" i="29"/>
  <c r="P14" i="29"/>
  <c r="L14" i="29"/>
  <c r="H14" i="29"/>
  <c r="F14" i="29"/>
  <c r="O14" i="29"/>
  <c r="K14" i="29"/>
  <c r="G14" i="29"/>
  <c r="J14" i="29"/>
  <c r="M17" i="29"/>
  <c r="I17" i="29"/>
  <c r="E17" i="29"/>
  <c r="F17" i="29"/>
  <c r="P17" i="29"/>
  <c r="L17" i="29"/>
  <c r="H17" i="29"/>
  <c r="J17" i="29"/>
  <c r="O17" i="29"/>
  <c r="K17" i="29"/>
  <c r="G17" i="29"/>
  <c r="N17" i="29"/>
  <c r="F25" i="11"/>
  <c r="G25" i="11" s="1"/>
  <c r="D19" i="29" s="1"/>
  <c r="D20" i="29"/>
  <c r="D24" i="29"/>
  <c r="D23" i="29"/>
  <c r="D21" i="29"/>
  <c r="D22" i="29"/>
  <c r="F79" i="23"/>
  <c r="E53" i="13"/>
  <c r="F52" i="13" s="1"/>
  <c r="F54" i="13" s="1"/>
  <c r="F55" i="13" s="1"/>
  <c r="L79" i="23"/>
  <c r="E32" i="29" l="1"/>
  <c r="K32" i="29"/>
  <c r="N32" i="29"/>
  <c r="P32" i="29"/>
  <c r="I32" i="29"/>
  <c r="H32" i="29"/>
  <c r="M32" i="29"/>
  <c r="G32" i="29"/>
  <c r="J32" i="29"/>
  <c r="O32" i="29"/>
  <c r="L32" i="29"/>
  <c r="M28" i="29"/>
  <c r="L28" i="29"/>
  <c r="G28" i="29"/>
  <c r="K28" i="29"/>
  <c r="E28" i="29"/>
  <c r="N28" i="29"/>
  <c r="F28" i="29"/>
  <c r="F33" i="29" s="1"/>
  <c r="O28" i="29"/>
  <c r="P28" i="29"/>
  <c r="J28" i="29"/>
  <c r="J33" i="29" s="1"/>
  <c r="H28" i="29"/>
  <c r="H33" i="29" s="1"/>
  <c r="I28" i="29"/>
  <c r="D33" i="29"/>
  <c r="M23" i="29"/>
  <c r="I23" i="29"/>
  <c r="E23" i="29"/>
  <c r="F23" i="29"/>
  <c r="P23" i="29"/>
  <c r="L23" i="29"/>
  <c r="H23" i="29"/>
  <c r="N23" i="29"/>
  <c r="O23" i="29"/>
  <c r="K23" i="29"/>
  <c r="G23" i="29"/>
  <c r="J23" i="29"/>
  <c r="M24" i="29"/>
  <c r="I24" i="29"/>
  <c r="E24" i="29"/>
  <c r="F24" i="29"/>
  <c r="P24" i="29"/>
  <c r="L24" i="29"/>
  <c r="H24" i="29"/>
  <c r="N24" i="29"/>
  <c r="O24" i="29"/>
  <c r="K24" i="29"/>
  <c r="G24" i="29"/>
  <c r="J24" i="29"/>
  <c r="M22" i="29"/>
  <c r="I22" i="29"/>
  <c r="E22" i="29"/>
  <c r="F22" i="29"/>
  <c r="P22" i="29"/>
  <c r="L22" i="29"/>
  <c r="H22" i="29"/>
  <c r="N22" i="29"/>
  <c r="O22" i="29"/>
  <c r="K22" i="29"/>
  <c r="G22" i="29"/>
  <c r="J22" i="29"/>
  <c r="M20" i="29"/>
  <c r="I20" i="29"/>
  <c r="E20" i="29"/>
  <c r="N20" i="29"/>
  <c r="P20" i="29"/>
  <c r="L20" i="29"/>
  <c r="H20" i="29"/>
  <c r="J20" i="29"/>
  <c r="F20" i="29"/>
  <c r="O20" i="29"/>
  <c r="K20" i="29"/>
  <c r="G20" i="29"/>
  <c r="M21" i="29"/>
  <c r="I21" i="29"/>
  <c r="E21" i="29"/>
  <c r="P21" i="29"/>
  <c r="L21" i="29"/>
  <c r="H21" i="29"/>
  <c r="N21" i="29"/>
  <c r="F21" i="29"/>
  <c r="O21" i="29"/>
  <c r="K21" i="29"/>
  <c r="G21" i="29"/>
  <c r="J21" i="29"/>
  <c r="M19" i="29"/>
  <c r="I19" i="29"/>
  <c r="E19" i="29"/>
  <c r="N19" i="29"/>
  <c r="P19" i="29"/>
  <c r="L19" i="29"/>
  <c r="H19" i="29"/>
  <c r="F19" i="29"/>
  <c r="O19" i="29"/>
  <c r="K19" i="29"/>
  <c r="G19" i="29"/>
  <c r="J19" i="29"/>
  <c r="H79" i="23"/>
  <c r="F12" i="11"/>
  <c r="G12" i="11" s="1"/>
  <c r="P33" i="29" l="1"/>
  <c r="E33" i="29"/>
  <c r="G33" i="29"/>
  <c r="K33" i="29"/>
  <c r="N33" i="29"/>
  <c r="I33" i="29"/>
  <c r="O33" i="29"/>
  <c r="L33" i="29"/>
  <c r="M33" i="29"/>
  <c r="G36" i="11"/>
  <c r="D12" i="29"/>
  <c r="M12" i="29" l="1"/>
  <c r="M25" i="29" s="1"/>
  <c r="I12" i="29"/>
  <c r="I25" i="29" s="1"/>
  <c r="E12" i="29"/>
  <c r="E25" i="29" s="1"/>
  <c r="F12" i="29"/>
  <c r="F25" i="29" s="1"/>
  <c r="P12" i="29"/>
  <c r="P25" i="29" s="1"/>
  <c r="L12" i="29"/>
  <c r="L25" i="29" s="1"/>
  <c r="H12" i="29"/>
  <c r="H25" i="29" s="1"/>
  <c r="N12" i="29"/>
  <c r="N25" i="29" s="1"/>
  <c r="O12" i="29"/>
  <c r="O25" i="29" s="1"/>
  <c r="K12" i="29"/>
  <c r="K25" i="29" s="1"/>
  <c r="G12" i="29"/>
  <c r="G25" i="29" s="1"/>
  <c r="J12" i="29"/>
  <c r="J25" i="29" s="1"/>
  <c r="D25" i="29"/>
</calcChain>
</file>

<file path=xl/sharedStrings.xml><?xml version="1.0" encoding="utf-8"?>
<sst xmlns="http://schemas.openxmlformats.org/spreadsheetml/2006/main" count="2243" uniqueCount="775">
  <si>
    <t>BR-101/ES</t>
  </si>
  <si>
    <t>Discriminação</t>
  </si>
  <si>
    <t>Valor</t>
  </si>
  <si>
    <t>Parcial</t>
  </si>
  <si>
    <t>Total</t>
  </si>
  <si>
    <t>Nível</t>
  </si>
  <si>
    <t>a - pessoal de Nível Superior</t>
  </si>
  <si>
    <t>b- Pessoal de Nível Técnico e Auxiliar</t>
  </si>
  <si>
    <t>Taxa</t>
  </si>
  <si>
    <t>% de item "A"</t>
  </si>
  <si>
    <t>I - Custos diretos</t>
  </si>
  <si>
    <t>II - Remuneração da empresa</t>
  </si>
  <si>
    <t>% de "I"</t>
  </si>
  <si>
    <t>III - Despesas fiscais</t>
  </si>
  <si>
    <t>% de "I" + "II"</t>
  </si>
  <si>
    <t>"I"+"II"+"III"</t>
  </si>
  <si>
    <t>Quantidade</t>
  </si>
  <si>
    <t>Engenheiro coordenador</t>
  </si>
  <si>
    <t xml:space="preserve">P8061 </t>
  </si>
  <si>
    <t>Chefe de escritório</t>
  </si>
  <si>
    <t xml:space="preserve">P8038 </t>
  </si>
  <si>
    <t>Secretária</t>
  </si>
  <si>
    <t xml:space="preserve">P8135 </t>
  </si>
  <si>
    <t>Motorista de veículo leve</t>
  </si>
  <si>
    <t xml:space="preserve">P8113 </t>
  </si>
  <si>
    <t>Engenheiro de projetos sênior</t>
  </si>
  <si>
    <t xml:space="preserve">P8067 </t>
  </si>
  <si>
    <t xml:space="preserve">P8065 </t>
  </si>
  <si>
    <t>Técnico de obras</t>
  </si>
  <si>
    <t xml:space="preserve">P8147 </t>
  </si>
  <si>
    <t>Engenheiro pleno</t>
  </si>
  <si>
    <t xml:space="preserve">Técnico </t>
  </si>
  <si>
    <t>km x faixa</t>
  </si>
  <si>
    <t>unidade</t>
  </si>
  <si>
    <t>Engenheiro de projetos pleno - Sinalização</t>
  </si>
  <si>
    <t xml:space="preserve">P8066 </t>
  </si>
  <si>
    <t>RELATÓRIO DE CONSOLIDAÇÃO DOS CUSTOS DE MÃO DE OBRA</t>
  </si>
  <si>
    <t xml:space="preserve">Código </t>
  </si>
  <si>
    <t xml:space="preserve">Categoria </t>
  </si>
  <si>
    <t xml:space="preserve">Unid. </t>
  </si>
  <si>
    <t xml:space="preserve">Salário </t>
  </si>
  <si>
    <t xml:space="preserve"> Encargos Sociais </t>
  </si>
  <si>
    <t xml:space="preserve">Encargos Sociais </t>
  </si>
  <si>
    <t xml:space="preserve">Encargos Complementares </t>
  </si>
  <si>
    <t xml:space="preserve">Encargos Adicionais </t>
  </si>
  <si>
    <t xml:space="preserve">Encargos Totais </t>
  </si>
  <si>
    <t xml:space="preserve">Valor Total </t>
  </si>
  <si>
    <t xml:space="preserve">Alimentação </t>
  </si>
  <si>
    <t xml:space="preserve">EPI </t>
  </si>
  <si>
    <t xml:space="preserve">Ferramenta </t>
  </si>
  <si>
    <t xml:space="preserve">Transporte </t>
  </si>
  <si>
    <t xml:space="preserve">Exame Ocupacional </t>
  </si>
  <si>
    <t xml:space="preserve">Cesta Básica </t>
  </si>
  <si>
    <t xml:space="preserve">Assistência Médica </t>
  </si>
  <si>
    <t xml:space="preserve">Seguro de Vida </t>
  </si>
  <si>
    <t xml:space="preserve">R$ </t>
  </si>
  <si>
    <t xml:space="preserve">% </t>
  </si>
  <si>
    <t xml:space="preserve">Advogado júnior </t>
  </si>
  <si>
    <t xml:space="preserve">mês </t>
  </si>
  <si>
    <t xml:space="preserve">Advogado pleno </t>
  </si>
  <si>
    <t xml:space="preserve">Advogado sênior </t>
  </si>
  <si>
    <t xml:space="preserve">Analista de desenvolvimento de sistemas júnior </t>
  </si>
  <si>
    <t xml:space="preserve">P8008 </t>
  </si>
  <si>
    <t xml:space="preserve">Analista de desenvolvimento de sistemas pleno </t>
  </si>
  <si>
    <t xml:space="preserve">P8009 </t>
  </si>
  <si>
    <t xml:space="preserve">Analista de desenvolvimento de sistemas sênior </t>
  </si>
  <si>
    <t xml:space="preserve">P8013 </t>
  </si>
  <si>
    <t xml:space="preserve">Arquiteto júnior </t>
  </si>
  <si>
    <t xml:space="preserve">P8014 </t>
  </si>
  <si>
    <t xml:space="preserve">Arquiteto pleno </t>
  </si>
  <si>
    <t xml:space="preserve">P8015 </t>
  </si>
  <si>
    <t xml:space="preserve">Arquiteto sênior </t>
  </si>
  <si>
    <t xml:space="preserve">P8019 </t>
  </si>
  <si>
    <t xml:space="preserve">Assistente social júnior </t>
  </si>
  <si>
    <t xml:space="preserve">P8020 </t>
  </si>
  <si>
    <t xml:space="preserve">Assistente social pleno </t>
  </si>
  <si>
    <t xml:space="preserve">P8021 </t>
  </si>
  <si>
    <t xml:space="preserve">Assistente social sênior </t>
  </si>
  <si>
    <t xml:space="preserve">P8025 </t>
  </si>
  <si>
    <t xml:space="preserve">Auxiliar </t>
  </si>
  <si>
    <t xml:space="preserve">P8026 </t>
  </si>
  <si>
    <t xml:space="preserve">Auxiliar administrativo </t>
  </si>
  <si>
    <t xml:space="preserve">P8027 </t>
  </si>
  <si>
    <t xml:space="preserve">Auxiliar de laboratório </t>
  </si>
  <si>
    <t xml:space="preserve">P8028 </t>
  </si>
  <si>
    <t xml:space="preserve">Auxiliar de topografia </t>
  </si>
  <si>
    <t xml:space="preserve">P8032 </t>
  </si>
  <si>
    <t xml:space="preserve">Biólogo júnior </t>
  </si>
  <si>
    <t xml:space="preserve">P8033 </t>
  </si>
  <si>
    <t xml:space="preserve">Biólogo pleno </t>
  </si>
  <si>
    <t xml:space="preserve">P8034 </t>
  </si>
  <si>
    <t xml:space="preserve">Biólogo sênior </t>
  </si>
  <si>
    <t xml:space="preserve">Chefe de escritório </t>
  </si>
  <si>
    <t xml:space="preserve">P8040 </t>
  </si>
  <si>
    <t xml:space="preserve">Contador júnior </t>
  </si>
  <si>
    <t xml:space="preserve">P8041 </t>
  </si>
  <si>
    <t xml:space="preserve">Contador pleno </t>
  </si>
  <si>
    <t xml:space="preserve">P8042 </t>
  </si>
  <si>
    <t xml:space="preserve">Contador sênior </t>
  </si>
  <si>
    <t xml:space="preserve">P8044 </t>
  </si>
  <si>
    <t xml:space="preserve">Coordenador ambiental  </t>
  </si>
  <si>
    <t xml:space="preserve">P8045 </t>
  </si>
  <si>
    <t xml:space="preserve">Economista júnior </t>
  </si>
  <si>
    <t xml:space="preserve">P8046 </t>
  </si>
  <si>
    <t xml:space="preserve">Economista pleno </t>
  </si>
  <si>
    <t xml:space="preserve">P8047 </t>
  </si>
  <si>
    <t xml:space="preserve">Economista sênior </t>
  </si>
  <si>
    <t xml:space="preserve">P8051 </t>
  </si>
  <si>
    <t xml:space="preserve">Engenheiro agrimensor/Geógrafo júnior </t>
  </si>
  <si>
    <r>
      <rPr>
        <b/>
        <sz val="6"/>
        <color rgb="FFFFFFFF"/>
        <rFont val="Arial"/>
        <family val="2"/>
      </rPr>
      <t>Código Engenharia Consultiva</t>
    </r>
  </si>
  <si>
    <r>
      <rPr>
        <b/>
        <sz val="6"/>
        <color rgb="FFFFFFFF"/>
        <rFont val="Arial"/>
        <family val="2"/>
      </rPr>
      <t>Categoria</t>
    </r>
  </si>
  <si>
    <r>
      <rPr>
        <b/>
        <sz val="6"/>
        <color rgb="FFFFFFFF"/>
        <rFont val="Arial"/>
        <family val="2"/>
      </rPr>
      <t>Unid.</t>
    </r>
  </si>
  <si>
    <r>
      <rPr>
        <b/>
        <sz val="6"/>
        <color rgb="FFFFFFFF"/>
        <rFont val="Arial"/>
        <family val="2"/>
      </rPr>
      <t>Salário</t>
    </r>
  </si>
  <si>
    <r>
      <rPr>
        <b/>
        <sz val="6"/>
        <color rgb="FFFFFFFF"/>
        <rFont val="Arial"/>
        <family val="2"/>
      </rPr>
      <t>Encargos Sociais %</t>
    </r>
  </si>
  <si>
    <r>
      <rPr>
        <b/>
        <sz val="6"/>
        <color rgb="FFFFFFFF"/>
        <rFont val="Arial"/>
        <family val="2"/>
      </rPr>
      <t>Encargos Sociais (R$)</t>
    </r>
  </si>
  <si>
    <r>
      <rPr>
        <b/>
        <sz val="6"/>
        <color rgb="FFFFFFFF"/>
        <rFont val="Arial"/>
        <family val="2"/>
      </rPr>
      <t>Encargos Complementares</t>
    </r>
  </si>
  <si>
    <r>
      <rPr>
        <b/>
        <sz val="6"/>
        <color rgb="FFFFFFFF"/>
        <rFont val="Arial"/>
        <family val="2"/>
      </rPr>
      <t>Encargos Adicionais</t>
    </r>
  </si>
  <si>
    <r>
      <rPr>
        <b/>
        <sz val="6"/>
        <color rgb="FFFFFFFF"/>
        <rFont val="Arial"/>
        <family val="2"/>
      </rPr>
      <t>Encargos Totais</t>
    </r>
  </si>
  <si>
    <r>
      <rPr>
        <b/>
        <sz val="6"/>
        <color rgb="FFFFFFFF"/>
        <rFont val="Arial"/>
        <family val="2"/>
      </rPr>
      <t>Valor Total</t>
    </r>
  </si>
  <si>
    <r>
      <rPr>
        <b/>
        <sz val="6"/>
        <color rgb="FFFFFFFF"/>
        <rFont val="Arial"/>
        <family val="2"/>
      </rPr>
      <t>Alimentação</t>
    </r>
  </si>
  <si>
    <r>
      <rPr>
        <b/>
        <sz val="6"/>
        <color rgb="FFFFFFFF"/>
        <rFont val="Arial"/>
        <family val="2"/>
      </rPr>
      <t>EPI</t>
    </r>
  </si>
  <si>
    <r>
      <rPr>
        <b/>
        <sz val="6"/>
        <color rgb="FFFFFFFF"/>
        <rFont val="Arial"/>
        <family val="2"/>
      </rPr>
      <t>Ferramenta</t>
    </r>
  </si>
  <si>
    <r>
      <rPr>
        <b/>
        <sz val="6"/>
        <color rgb="FFFFFFFF"/>
        <rFont val="Arial"/>
        <family val="2"/>
      </rPr>
      <t>Transporte</t>
    </r>
  </si>
  <si>
    <r>
      <rPr>
        <b/>
        <sz val="6"/>
        <color rgb="FFFFFFFF"/>
        <rFont val="Arial"/>
        <family val="2"/>
      </rPr>
      <t>Exam. Ocupacional</t>
    </r>
  </si>
  <si>
    <r>
      <rPr>
        <b/>
        <sz val="6"/>
        <color rgb="FFFFFFFF"/>
        <rFont val="Arial"/>
        <family val="2"/>
      </rPr>
      <t>Cesta Básica</t>
    </r>
  </si>
  <si>
    <r>
      <rPr>
        <b/>
        <sz val="6"/>
        <color rgb="FFFFFFFF"/>
        <rFont val="Arial"/>
        <family val="2"/>
      </rPr>
      <t>Assistência Médica</t>
    </r>
  </si>
  <si>
    <r>
      <rPr>
        <b/>
        <sz val="6"/>
        <color rgb="FFFFFFFF"/>
        <rFont val="Arial"/>
        <family val="2"/>
      </rPr>
      <t>Seguro de Vida</t>
    </r>
  </si>
  <si>
    <r>
      <rPr>
        <b/>
        <sz val="6"/>
        <color rgb="FFFFFFFF"/>
        <rFont val="Arial"/>
        <family val="2"/>
      </rPr>
      <t>%</t>
    </r>
  </si>
  <si>
    <r>
      <rPr>
        <b/>
        <sz val="6"/>
        <color rgb="FFFFFFFF"/>
        <rFont val="Arial"/>
        <family val="2"/>
      </rPr>
      <t>R$</t>
    </r>
  </si>
  <si>
    <t xml:space="preserve">P8052 </t>
  </si>
  <si>
    <t xml:space="preserve">Engenheiro agrimensor/Geógrafo pleno </t>
  </si>
  <si>
    <t xml:space="preserve">P8053 </t>
  </si>
  <si>
    <t xml:space="preserve">Engenheiro agrimensor/Geógrafo sênior </t>
  </si>
  <si>
    <t xml:space="preserve">P8054 </t>
  </si>
  <si>
    <t xml:space="preserve">Engenheiro agrônomo júnior </t>
  </si>
  <si>
    <t xml:space="preserve">P8055 </t>
  </si>
  <si>
    <t xml:space="preserve">Engenheiro agrônomo pleno </t>
  </si>
  <si>
    <t xml:space="preserve">P8056 </t>
  </si>
  <si>
    <t xml:space="preserve">Engenheiro agrônomo sênior </t>
  </si>
  <si>
    <t xml:space="preserve">P8057 </t>
  </si>
  <si>
    <t xml:space="preserve">Engenheiro ambiental júnior </t>
  </si>
  <si>
    <t xml:space="preserve">P8058 </t>
  </si>
  <si>
    <t xml:space="preserve">Engenheiro ambiental pleno </t>
  </si>
  <si>
    <t xml:space="preserve">P8059 </t>
  </si>
  <si>
    <t xml:space="preserve">Engenheiro ambiental sênior </t>
  </si>
  <si>
    <t xml:space="preserve">P8060 </t>
  </si>
  <si>
    <t xml:space="preserve">Engenheiro consultor especial </t>
  </si>
  <si>
    <t xml:space="preserve">Engenheiro coordenador </t>
  </si>
  <si>
    <t xml:space="preserve">P8062 </t>
  </si>
  <si>
    <t xml:space="preserve">Engenheiro de pesca júnior </t>
  </si>
  <si>
    <t xml:space="preserve">P8063 </t>
  </si>
  <si>
    <t xml:space="preserve">Engenheiro de pesca pleno </t>
  </si>
  <si>
    <t xml:space="preserve">P8064 </t>
  </si>
  <si>
    <t xml:space="preserve">Engenheiro de pesca sênior </t>
  </si>
  <si>
    <t xml:space="preserve">Engenheiro de projetos júnior </t>
  </si>
  <si>
    <t xml:space="preserve">Engenheiro de projetos pleno </t>
  </si>
  <si>
    <t xml:space="preserve">Engenheiro de projetos sênior </t>
  </si>
  <si>
    <t xml:space="preserve">P8068 </t>
  </si>
  <si>
    <t xml:space="preserve">Engenheiro florestal júnior </t>
  </si>
  <si>
    <t xml:space="preserve">P8069 </t>
  </si>
  <si>
    <t xml:space="preserve">Engenheiro florestal pleno </t>
  </si>
  <si>
    <t xml:space="preserve">P8070 </t>
  </si>
  <si>
    <t xml:space="preserve">Engenheiro florestal sênior </t>
  </si>
  <si>
    <t xml:space="preserve">P8080 </t>
  </si>
  <si>
    <t xml:space="preserve">Geólogo júnior </t>
  </si>
  <si>
    <t xml:space="preserve">P8081 </t>
  </si>
  <si>
    <t xml:space="preserve">Geólogo pleno </t>
  </si>
  <si>
    <t xml:space="preserve">P8082 </t>
  </si>
  <si>
    <t xml:space="preserve">Geólogo sênior </t>
  </si>
  <si>
    <t xml:space="preserve">P8086 </t>
  </si>
  <si>
    <t xml:space="preserve">Historiador/Sociólogo júnior </t>
  </si>
  <si>
    <t xml:space="preserve">P8087 </t>
  </si>
  <si>
    <t xml:space="preserve">Historiador/Sociólogo pleno </t>
  </si>
  <si>
    <t xml:space="preserve">P8088 </t>
  </si>
  <si>
    <t xml:space="preserve">Historiador/Sociólogo sênior </t>
  </si>
  <si>
    <t xml:space="preserve">P8092 </t>
  </si>
  <si>
    <t xml:space="preserve">Jornalista júnior </t>
  </si>
  <si>
    <t xml:space="preserve">P8093 </t>
  </si>
  <si>
    <t xml:space="preserve">Jornalista pleno </t>
  </si>
  <si>
    <t xml:space="preserve">P8094 </t>
  </si>
  <si>
    <t xml:space="preserve">Jornalista sênior </t>
  </si>
  <si>
    <t xml:space="preserve">P8098 </t>
  </si>
  <si>
    <t xml:space="preserve">Laboratorista </t>
  </si>
  <si>
    <t xml:space="preserve">P8102 </t>
  </si>
  <si>
    <t xml:space="preserve">Médico veterinário </t>
  </si>
  <si>
    <t xml:space="preserve">P8106 </t>
  </si>
  <si>
    <t xml:space="preserve">Meteorologista júnior </t>
  </si>
  <si>
    <t xml:space="preserve">P8107 </t>
  </si>
  <si>
    <t xml:space="preserve">Meteorologista pleno </t>
  </si>
  <si>
    <t xml:space="preserve">P8108 </t>
  </si>
  <si>
    <t xml:space="preserve">Meteorologista sênior </t>
  </si>
  <si>
    <t xml:space="preserve">P8112 </t>
  </si>
  <si>
    <t xml:space="preserve">Motorista de caminhão </t>
  </si>
  <si>
    <t xml:space="preserve">Motorista de veículo leve </t>
  </si>
  <si>
    <t xml:space="preserve">P8117 </t>
  </si>
  <si>
    <t xml:space="preserve">Oceanógrafo júnior </t>
  </si>
  <si>
    <t xml:space="preserve">P8118 </t>
  </si>
  <si>
    <t xml:space="preserve">Oceanógrafo pleno </t>
  </si>
  <si>
    <t xml:space="preserve">P8119 </t>
  </si>
  <si>
    <t xml:space="preserve">Oceanógrafo sênior </t>
  </si>
  <si>
    <t xml:space="preserve">P8123 </t>
  </si>
  <si>
    <t xml:space="preserve">Paleontólogo/Arqueólogo/Antropólogo júnior </t>
  </si>
  <si>
    <t xml:space="preserve">P8124 </t>
  </si>
  <si>
    <t xml:space="preserve">Paleontólogo/Arqueólogo/Antropólogo pleno </t>
  </si>
  <si>
    <t xml:space="preserve">P8125 </t>
  </si>
  <si>
    <t xml:space="preserve">Paleontólogo/Arqueólogo/Antropólogo sênior </t>
  </si>
  <si>
    <t xml:space="preserve">P8129 </t>
  </si>
  <si>
    <t xml:space="preserve">Pedagogo júnior </t>
  </si>
  <si>
    <t xml:space="preserve">P8130 </t>
  </si>
  <si>
    <t xml:space="preserve">Pedagogo pleno </t>
  </si>
  <si>
    <t xml:space="preserve">P8131 </t>
  </si>
  <si>
    <t xml:space="preserve">Pedagogo sênior </t>
  </si>
  <si>
    <t xml:space="preserve">Secretária </t>
  </si>
  <si>
    <t xml:space="preserve">P8139 </t>
  </si>
  <si>
    <t xml:space="preserve">Sondador </t>
  </si>
  <si>
    <t xml:space="preserve">P8143 </t>
  </si>
  <si>
    <t xml:space="preserve">Técnico ambiental </t>
  </si>
  <si>
    <t xml:space="preserve">Técnico de obras </t>
  </si>
  <si>
    <t xml:space="preserve">P8151 </t>
  </si>
  <si>
    <t xml:space="preserve">Técnico de segurança do trabalho </t>
  </si>
  <si>
    <t xml:space="preserve">P8155 </t>
  </si>
  <si>
    <t xml:space="preserve">Técnico em geoprocessamento </t>
  </si>
  <si>
    <t xml:space="preserve">P8159 </t>
  </si>
  <si>
    <t xml:space="preserve">Técnico em informática - programador </t>
  </si>
  <si>
    <t xml:space="preserve">P8163 </t>
  </si>
  <si>
    <t xml:space="preserve">Topógrafo </t>
  </si>
  <si>
    <t xml:space="preserve">P8167 </t>
  </si>
  <si>
    <t xml:space="preserve">Arquivista júnior </t>
  </si>
  <si>
    <t xml:space="preserve">P8168 </t>
  </si>
  <si>
    <t xml:space="preserve">Arquivista pleno </t>
  </si>
  <si>
    <t xml:space="preserve">P8169 </t>
  </si>
  <si>
    <t xml:space="preserve">Arquivista sênior </t>
  </si>
  <si>
    <t xml:space="preserve">P8173 </t>
  </si>
  <si>
    <t xml:space="preserve">Administrador júnior </t>
  </si>
  <si>
    <t xml:space="preserve">P8174 </t>
  </si>
  <si>
    <t xml:space="preserve">Administrador pleno </t>
  </si>
  <si>
    <t xml:space="preserve">P8175 </t>
  </si>
  <si>
    <t xml:space="preserve">Administrador sênior </t>
  </si>
  <si>
    <r>
      <rPr>
        <b/>
        <sz val="12"/>
        <rFont val="Arial"/>
        <family val="2"/>
      </rPr>
      <t>RELATÓRIO DE CUSTOS GERAIS E BENEFÍCIOS E DESPESAS INDIRETAS - BDI</t>
    </r>
  </si>
  <si>
    <r>
      <rPr>
        <b/>
        <sz val="9"/>
        <color rgb="FFFFFFFF"/>
        <rFont val="Arial"/>
        <family val="2"/>
      </rPr>
      <t>Item</t>
    </r>
  </si>
  <si>
    <r>
      <rPr>
        <b/>
        <sz val="9"/>
        <color rgb="FFFFFFFF"/>
        <rFont val="Arial"/>
        <family val="2"/>
      </rPr>
      <t>Código Engenharia Consultiva</t>
    </r>
  </si>
  <si>
    <r>
      <rPr>
        <b/>
        <sz val="9"/>
        <color rgb="FFFFFFFF"/>
        <rFont val="Arial"/>
        <family val="2"/>
      </rPr>
      <t>Tipo</t>
    </r>
  </si>
  <si>
    <r>
      <rPr>
        <b/>
        <sz val="9"/>
        <color rgb="FFFFFFFF"/>
        <rFont val="Arial"/>
        <family val="2"/>
      </rPr>
      <t>Custo unitário (R$ / un)</t>
    </r>
  </si>
  <si>
    <r>
      <rPr>
        <b/>
        <sz val="9"/>
        <color rgb="FFFFFFFF"/>
        <rFont val="Arial"/>
        <family val="2"/>
      </rPr>
      <t>Produtivo</t>
    </r>
  </si>
  <si>
    <t>Improdutivo</t>
  </si>
  <si>
    <r>
      <rPr>
        <sz val="9"/>
        <rFont val="Arial"/>
        <family val="2"/>
      </rPr>
      <t>Veículos</t>
    </r>
  </si>
  <si>
    <t>E8889</t>
  </si>
  <si>
    <t>Veículo leve - 53 kW (sem motorista)</t>
  </si>
  <si>
    <t>hora</t>
  </si>
  <si>
    <t>E8891</t>
  </si>
  <si>
    <t>Veículo leve Pick Up 4x4 - 147 kW (sem motorista)</t>
  </si>
  <si>
    <r>
      <rPr>
        <sz val="9"/>
        <rFont val="Arial"/>
        <family val="2"/>
      </rPr>
      <t>E8887</t>
    </r>
  </si>
  <si>
    <t>Van furgão - 93 kW (com motorista)</t>
  </si>
  <si>
    <r>
      <rPr>
        <b/>
        <sz val="9"/>
        <color rgb="FFFFFFFF"/>
        <rFont val="Arial"/>
        <family val="2"/>
      </rPr>
      <t>Unidade</t>
    </r>
  </si>
  <si>
    <r>
      <rPr>
        <sz val="9"/>
        <rFont val="Arial"/>
        <family val="2"/>
      </rPr>
      <t>Imóveis</t>
    </r>
  </si>
  <si>
    <t>B8951</t>
  </si>
  <si>
    <t>Comercial (2,60% do C.M.C.C - SINAPI)</t>
  </si>
  <si>
    <r>
      <rPr>
        <sz val="9"/>
        <rFont val="Arial"/>
        <family val="2"/>
      </rPr>
      <t>m² x mês</t>
    </r>
  </si>
  <si>
    <r>
      <rPr>
        <sz val="9"/>
        <rFont val="Arial"/>
        <family val="2"/>
      </rPr>
      <t>B8952</t>
    </r>
  </si>
  <si>
    <t>Residencial (1,70% do C.M.C.C. - SINAPI)</t>
  </si>
  <si>
    <r>
      <rPr>
        <sz val="9"/>
        <rFont val="Arial"/>
        <family val="2"/>
      </rPr>
      <t>Mobiliário</t>
    </r>
  </si>
  <si>
    <t>B8953</t>
  </si>
  <si>
    <t>Escritório</t>
  </si>
  <si>
    <r>
      <rPr>
        <sz val="9"/>
        <rFont val="Arial"/>
        <family val="2"/>
      </rPr>
      <t>ocupante x mês</t>
    </r>
  </si>
  <si>
    <r>
      <rPr>
        <sz val="9"/>
        <rFont val="Arial"/>
        <family val="2"/>
      </rPr>
      <t>B8954</t>
    </r>
  </si>
  <si>
    <r>
      <rPr>
        <sz val="9"/>
        <rFont val="Arial"/>
        <family val="2"/>
      </rPr>
      <t>Residência</t>
    </r>
  </si>
  <si>
    <r>
      <rPr>
        <sz val="9"/>
        <rFont val="Arial"/>
        <family val="2"/>
      </rPr>
      <t>Cesta das Instalações</t>
    </r>
  </si>
  <si>
    <r>
      <rPr>
        <sz val="9"/>
        <rFont val="Arial"/>
        <family val="2"/>
      </rPr>
      <t>B8955</t>
    </r>
  </si>
  <si>
    <r>
      <rPr>
        <sz val="9"/>
        <rFont val="Arial"/>
        <family val="2"/>
      </rPr>
      <t>Laboratório de asfalto</t>
    </r>
  </si>
  <si>
    <r>
      <rPr>
        <sz val="9"/>
        <rFont val="Arial"/>
        <family val="2"/>
      </rPr>
      <t>mês</t>
    </r>
  </si>
  <si>
    <r>
      <rPr>
        <sz val="9"/>
        <rFont val="Arial"/>
        <family val="2"/>
      </rPr>
      <t>B8956</t>
    </r>
  </si>
  <si>
    <r>
      <rPr>
        <sz val="9"/>
        <rFont val="Arial"/>
        <family val="2"/>
      </rPr>
      <t>Laboratório de concreto</t>
    </r>
  </si>
  <si>
    <r>
      <rPr>
        <sz val="9"/>
        <rFont val="Arial"/>
        <family val="2"/>
      </rPr>
      <t>B8957</t>
    </r>
  </si>
  <si>
    <r>
      <rPr>
        <sz val="9"/>
        <rFont val="Arial"/>
        <family val="2"/>
      </rPr>
      <t>Laboratório de solos</t>
    </r>
  </si>
  <si>
    <r>
      <rPr>
        <sz val="9"/>
        <rFont val="Arial"/>
        <family val="2"/>
      </rPr>
      <t>B8958</t>
    </r>
  </si>
  <si>
    <r>
      <rPr>
        <sz val="9"/>
        <rFont val="Arial"/>
        <family val="2"/>
      </rPr>
      <t>Topografia</t>
    </r>
  </si>
  <si>
    <r>
      <rPr>
        <sz val="9"/>
        <rFont val="Arial"/>
        <family val="2"/>
      </rPr>
      <t>Custos Diversos</t>
    </r>
  </si>
  <si>
    <t>B8959</t>
  </si>
  <si>
    <t>ocupante x mês</t>
  </si>
  <si>
    <r>
      <rPr>
        <sz val="9"/>
        <rFont val="Arial"/>
        <family val="2"/>
      </rPr>
      <t>B8960</t>
    </r>
  </si>
  <si>
    <r>
      <rPr>
        <b/>
        <sz val="9"/>
        <color rgb="FFFFFFFF"/>
        <rFont val="Arial"/>
        <family val="2"/>
      </rPr>
      <t>Benefícios e Despesas Indiretas - BDI</t>
    </r>
  </si>
  <si>
    <r>
      <rPr>
        <b/>
        <sz val="9"/>
        <rFont val="Arial"/>
        <family val="2"/>
      </rPr>
      <t>Despesas Indiretas</t>
    </r>
  </si>
  <si>
    <r>
      <rPr>
        <b/>
        <sz val="9"/>
        <rFont val="Arial"/>
        <family val="2"/>
      </rPr>
      <t>% sobre PV</t>
    </r>
  </si>
  <si>
    <r>
      <rPr>
        <b/>
        <sz val="9"/>
        <rFont val="Arial"/>
        <family val="2"/>
      </rPr>
      <t>% sobre CD</t>
    </r>
  </si>
  <si>
    <r>
      <rPr>
        <sz val="9"/>
        <rFont val="Arial"/>
        <family val="2"/>
      </rPr>
      <t>Administração Central</t>
    </r>
  </si>
  <si>
    <r>
      <rPr>
        <sz val="9"/>
        <rFont val="Arial"/>
        <family val="2"/>
      </rPr>
      <t>Variável - f (CD)</t>
    </r>
  </si>
  <si>
    <r>
      <rPr>
        <sz val="9"/>
        <rFont val="Arial"/>
        <family val="2"/>
      </rPr>
      <t>Despesas Financeiras</t>
    </r>
  </si>
  <si>
    <t>0,43% sobre (PV - Lucro)</t>
  </si>
  <si>
    <r>
      <rPr>
        <sz val="9"/>
        <rFont val="Arial"/>
        <family val="2"/>
      </rPr>
      <t>Riscos</t>
    </r>
  </si>
  <si>
    <r>
      <rPr>
        <sz val="9"/>
        <rFont val="Arial"/>
        <family val="2"/>
      </rPr>
      <t>0,50% do PV</t>
    </r>
  </si>
  <si>
    <r>
      <rPr>
        <sz val="9"/>
        <rFont val="Arial"/>
        <family val="2"/>
      </rPr>
      <t>Garantias Contratuais</t>
    </r>
  </si>
  <si>
    <r>
      <rPr>
        <sz val="9"/>
        <rFont val="Arial"/>
        <family val="2"/>
      </rPr>
      <t>0,10% do PV</t>
    </r>
  </si>
  <si>
    <r>
      <rPr>
        <b/>
        <sz val="9"/>
        <rFont val="Arial"/>
        <family val="2"/>
      </rPr>
      <t>Subtotal 1</t>
    </r>
  </si>
  <si>
    <r>
      <rPr>
        <b/>
        <sz val="9"/>
        <rFont val="Arial"/>
        <family val="2"/>
      </rPr>
      <t>Benefícios</t>
    </r>
  </si>
  <si>
    <r>
      <rPr>
        <sz val="9"/>
        <rFont val="Arial"/>
        <family val="2"/>
      </rPr>
      <t>Lucro Operacional</t>
    </r>
  </si>
  <si>
    <r>
      <rPr>
        <b/>
        <sz val="9"/>
        <rFont val="Arial"/>
        <family val="2"/>
      </rPr>
      <t>Subtotal 2</t>
    </r>
  </si>
  <si>
    <r>
      <rPr>
        <b/>
        <sz val="9"/>
        <rFont val="Arial"/>
        <family val="2"/>
      </rPr>
      <t>Tributos</t>
    </r>
  </si>
  <si>
    <r>
      <rPr>
        <sz val="9"/>
        <rFont val="Arial"/>
        <family val="2"/>
      </rPr>
      <t>PIS</t>
    </r>
  </si>
  <si>
    <r>
      <rPr>
        <sz val="9"/>
        <rFont val="Arial"/>
        <family val="2"/>
      </rPr>
      <t>1,65% do PV</t>
    </r>
  </si>
  <si>
    <r>
      <rPr>
        <sz val="9"/>
        <rFont val="Arial"/>
        <family val="2"/>
      </rPr>
      <t>COFINS</t>
    </r>
  </si>
  <si>
    <r>
      <rPr>
        <sz val="9"/>
        <rFont val="Arial"/>
        <family val="2"/>
      </rPr>
      <t>7,60% do PV</t>
    </r>
  </si>
  <si>
    <r>
      <rPr>
        <sz val="9"/>
        <rFont val="Arial"/>
        <family val="2"/>
      </rPr>
      <t>ISSQN*</t>
    </r>
  </si>
  <si>
    <r>
      <rPr>
        <sz val="9"/>
        <rFont val="Arial"/>
        <family val="2"/>
      </rPr>
      <t>5,00% do PV</t>
    </r>
  </si>
  <si>
    <r>
      <rPr>
        <b/>
        <sz val="9"/>
        <rFont val="Arial"/>
        <family val="2"/>
      </rPr>
      <t>Subtotal 3</t>
    </r>
  </si>
  <si>
    <r>
      <rPr>
        <b/>
        <sz val="9"/>
        <color rgb="FFFFFFFF"/>
        <rFont val="Arial"/>
        <family val="2"/>
      </rPr>
      <t>Total - BDI (%)</t>
    </r>
  </si>
  <si>
    <r>
      <rPr>
        <sz val="9"/>
        <rFont val="Arial"/>
        <family val="2"/>
      </rPr>
      <t>(*) Limite máximo adotado de 5%; valor variável em função da legislação de cada município. As empresas licitantes deverão adotar as alíquotas pertinentes.</t>
    </r>
  </si>
  <si>
    <t>(A) 
Função</t>
  </si>
  <si>
    <t>(B) 
Código</t>
  </si>
  <si>
    <t>(C) 
Quantidade
 (pessoa)</t>
  </si>
  <si>
    <t>(D) 
Duração da atividade (mês)</t>
  </si>
  <si>
    <t>(E)
Remuneração mensal</t>
  </si>
  <si>
    <t>(F)
Total 
mão de obra
(C x D x E)</t>
  </si>
  <si>
    <t>(G)
Encargos
(%)</t>
  </si>
  <si>
    <t>Apoio na Análise da Monitoração dos Terraplenos e Estruturas de Contenção (BR-101/ES/BA)</t>
  </si>
  <si>
    <t>Apoio na Análise da Monitoração das Obras de Arte Especial (BR-101/ES/BA)</t>
  </si>
  <si>
    <t>Apoio na Análise da Monitoração do Sinalização Horizontal (BR-101/ES/BA)</t>
  </si>
  <si>
    <t>Apoio na Análise da Monitoração do Pavimento (BR-101/ES/BA)</t>
  </si>
  <si>
    <t>Apoio no Acompanhamento da Conservação, Manutenção, Operação e Obras (BR-101/ES/BA)</t>
  </si>
  <si>
    <t>Engenheiro Consultor Especial</t>
  </si>
  <si>
    <t>(H)
Encargos
(R$)
(E x G)</t>
  </si>
  <si>
    <t>(I)
Total
Encargos
(F x G)</t>
  </si>
  <si>
    <t>(J)
Total
Geral
(F + I)</t>
  </si>
  <si>
    <t>BR-101/ES/BA (Eco 101)</t>
  </si>
  <si>
    <t>BR-116/465/493
(Rio de Janeiro - Governador Valadares)</t>
  </si>
  <si>
    <t>DIMENSIONAMENTO DAS QUANTIDADES</t>
  </si>
  <si>
    <t>LOTE</t>
  </si>
  <si>
    <t>UF</t>
  </si>
  <si>
    <t>ETAPA</t>
  </si>
  <si>
    <t>RODOVIAS</t>
  </si>
  <si>
    <t>EXTENSÃO (KM)</t>
  </si>
  <si>
    <t>Faixas de Rolamento</t>
  </si>
  <si>
    <t>MANCHA AREIA</t>
  </si>
  <si>
    <t>FWD</t>
  </si>
  <si>
    <t>IRI</t>
  </si>
  <si>
    <t>TRECHO</t>
  </si>
  <si>
    <t>EXTENSÃO
ponta a ponta (KM)</t>
  </si>
  <si>
    <t>EXTENSÃO/
FAIXAS DE ROLAMENTO (KM)</t>
  </si>
  <si>
    <t>ES/BA</t>
  </si>
  <si>
    <t>3ª Etapa</t>
  </si>
  <si>
    <t>Entroncamento BA-698 (acesso a Mucuri) - Divisa ES/RJ</t>
  </si>
  <si>
    <t>Pista simples</t>
  </si>
  <si>
    <t>Pista dupla</t>
  </si>
  <si>
    <t>Pista marginal</t>
  </si>
  <si>
    <t>Terceira Faixa</t>
  </si>
  <si>
    <t>Faixa Exclusiva</t>
  </si>
  <si>
    <t>BR-101/BA</t>
  </si>
  <si>
    <t>TOTAL</t>
  </si>
  <si>
    <t>RJ/MG</t>
  </si>
  <si>
    <t>4ª Etapa</t>
  </si>
  <si>
    <t xml:space="preserve">Rio de Janeiro/RJ – Governador Valadares/MG </t>
  </si>
  <si>
    <t>BR-116/RJ (Trecho 1)</t>
  </si>
  <si>
    <t>BR-116/RJ (Trecho 2)</t>
  </si>
  <si>
    <t>BR-116/MG</t>
  </si>
  <si>
    <t xml:space="preserve">BR-465/RJ </t>
  </si>
  <si>
    <t>BR-493/RJ (Trecho 1)</t>
  </si>
  <si>
    <t>BR-493/RJ (Trecho 2)</t>
  </si>
  <si>
    <t>CRONOGRAMA FÍSICO:</t>
  </si>
  <si>
    <t>Objeto:</t>
  </si>
  <si>
    <t>Supervisão/monitoração dos trechos das rodovias federais outorgados à exploração da iniciativa privada (Contratos de Concessão para exploração da Infraestrutura Rodoviária)</t>
  </si>
  <si>
    <t>Mês 1</t>
  </si>
  <si>
    <t>Mês 2</t>
  </si>
  <si>
    <t>Mês 3</t>
  </si>
  <si>
    <t>Mês 4</t>
  </si>
  <si>
    <t>Mês 5</t>
  </si>
  <si>
    <t>Mês 6</t>
  </si>
  <si>
    <t>Mês 7</t>
  </si>
  <si>
    <t>Mês 8</t>
  </si>
  <si>
    <t>Mês 9</t>
  </si>
  <si>
    <t>Mês 10</t>
  </si>
  <si>
    <t>Mês 11</t>
  </si>
  <si>
    <t>Mês 12</t>
  </si>
  <si>
    <t>Relatório de Apoio na Análise da Monitoração do Pavimento</t>
  </si>
  <si>
    <t>Relatório de Apoio na Análise da Monitoração da Sinalização Horizontal</t>
  </si>
  <si>
    <t>Relatório de Apoio na Análise da Monitoração da Sinalização Vertical</t>
  </si>
  <si>
    <t>Relatório de Apoio na Análise da Monitoração das Obras de Arte Especial</t>
  </si>
  <si>
    <t>Relatório de Apoio na Análise da Monitoração dos Terraplenos e Estruturas de Contenção</t>
  </si>
  <si>
    <t>Relatório de Apoio no Acompanhamento da Conservação, Manutenção, Operação e Obras</t>
  </si>
  <si>
    <t>Equipe</t>
  </si>
  <si>
    <t>ITEM</t>
  </si>
  <si>
    <t>unid</t>
  </si>
  <si>
    <t xml:space="preserve">Consultoria especializada </t>
  </si>
  <si>
    <t xml:space="preserve">Apoio no Acompanhamento da Conservação, Manutenção, Operação e Obras </t>
  </si>
  <si>
    <t xml:space="preserve">Apoio na Análise da Monitoração do Pavimento </t>
  </si>
  <si>
    <t xml:space="preserve">Apoio na Análise da Monitoração do Sinalização Horizontal </t>
  </si>
  <si>
    <t xml:space="preserve">Apoio na Análise da Monitoração da Sinalização Vertical </t>
  </si>
  <si>
    <t xml:space="preserve">Apoio na Análise da Monitoração das Obras de Arte Especial </t>
  </si>
  <si>
    <t xml:space="preserve">Apoio na Análise da Monitoração dos Terraplenos e Estruturas de Contenção </t>
  </si>
  <si>
    <t>1.1</t>
  </si>
  <si>
    <t>1.2</t>
  </si>
  <si>
    <t>2.1</t>
  </si>
  <si>
    <t>3.1</t>
  </si>
  <si>
    <t>4.1</t>
  </si>
  <si>
    <t>5.1</t>
  </si>
  <si>
    <t>6.1</t>
  </si>
  <si>
    <t>7.1</t>
  </si>
  <si>
    <t>8.1</t>
  </si>
  <si>
    <t>COMPOSIÇÃO DE PREÇO UNITÁRIO - CPU</t>
  </si>
  <si>
    <t>MÃO DE OBRA</t>
  </si>
  <si>
    <t>A-Equipe Técnica com encargos</t>
  </si>
  <si>
    <t>Resumo da composição do preço unitário item 3.1</t>
  </si>
  <si>
    <t>DESPESAS GERAIS</t>
  </si>
  <si>
    <t xml:space="preserve">Diárias </t>
  </si>
  <si>
    <t xml:space="preserve">unidade </t>
  </si>
  <si>
    <t>(A)
Descrição</t>
  </si>
  <si>
    <t>(B) 
Unidade</t>
  </si>
  <si>
    <t>(D)
Duração da atividade (mês)</t>
  </si>
  <si>
    <t>(F)
Valor</t>
  </si>
  <si>
    <t>(C)
Quantidade
Unitária</t>
  </si>
  <si>
    <t>(E)
Quantidade total
(C x D)</t>
  </si>
  <si>
    <t>Classificação do Cargo/Emprego/Função</t>
  </si>
  <si>
    <t>Deslocamentos para outras capitais de Estados</t>
  </si>
  <si>
    <t>Demais deslocamentos</t>
  </si>
  <si>
    <t>Média R$</t>
  </si>
  <si>
    <t>Média NI/ NS</t>
  </si>
  <si>
    <t>B - Custos Administrativos</t>
  </si>
  <si>
    <t>C - Despesas gerais</t>
  </si>
  <si>
    <t>(F)
Total geral
(E) x (F)</t>
  </si>
  <si>
    <t>A+B+C</t>
  </si>
  <si>
    <t>Valor unitário por relatório (mês)/concessionária</t>
  </si>
  <si>
    <t>IV - Total do orçamento (ano)</t>
  </si>
  <si>
    <t xml:space="preserve">IV - Total do orçamento </t>
  </si>
  <si>
    <t>(BR-101/ES/BA)</t>
  </si>
  <si>
    <t>9.1</t>
  </si>
  <si>
    <t>10.1</t>
  </si>
  <si>
    <t>11.1</t>
  </si>
  <si>
    <t>12.1</t>
  </si>
  <si>
    <t>13.1</t>
  </si>
  <si>
    <t>Resumo da composição do preço unitário item 9.1</t>
  </si>
  <si>
    <t>(IV/12)</t>
  </si>
  <si>
    <t>Despesas Gerais (BR-101/ES/BA)</t>
  </si>
  <si>
    <t>Despesas Gerais ( BR-116/465/493/RJ/MG)</t>
  </si>
  <si>
    <t>Apoio no Acompanhamento da Conservação, Manutenção, Operação e Obras ( BR-116/465/493/RJ/MG)</t>
  </si>
  <si>
    <t>Despesas Gerais (BR-116/465/493/RJ/MG)</t>
  </si>
  <si>
    <t>Apoio na Análise da Monitoração do Pavimento (BR-116/465/493/RJ/MG)</t>
  </si>
  <si>
    <t>Apoio na Análise da Monitoração do Sinalização Horizontal (BR-116/465/493RJ/MG)</t>
  </si>
  <si>
    <t>(BR-116/465/493/RJ/MG)</t>
  </si>
  <si>
    <t>Apoio na Análise da Monitoração do Sinalização  Vertical (BR-101/ES/BA)</t>
  </si>
  <si>
    <t>Apoio na Análise da Monitoração do Sinalização  Vertical (BR-116/465/493RJ/MG)</t>
  </si>
  <si>
    <t>Resumo da composição do preço unitário item 13.1</t>
  </si>
  <si>
    <t>Resumo da composição do preço unitário item 7.1</t>
  </si>
  <si>
    <t>Apoio na Análise da Monitoração das Obras de Arte Especial (BR-116/465/493RJ/MG)</t>
  </si>
  <si>
    <t>Resumo da composição do preço unitário item 8.1</t>
  </si>
  <si>
    <t>Apoio na Análise da Monitoração dos Terraplenos e Estruturas de Contenção (BR-116/465/493RJ/MG)</t>
  </si>
  <si>
    <t>Relatório de consultoria (BR-101/ES/BA)</t>
  </si>
  <si>
    <t>Relatório de consultoria (BR-116/465/493/RJ/MG)</t>
  </si>
  <si>
    <t>Resumo da composição do preço unitário item 1.1</t>
  </si>
  <si>
    <t>Resumo da composição do preço unitário item 1.2</t>
  </si>
  <si>
    <t>Apoio coordenação (BR-101/ES/BA)</t>
  </si>
  <si>
    <t>Resumo da composição do preço unitário item 2.1</t>
  </si>
  <si>
    <t>Apoio consultoria (BR-101/ES/BA)</t>
  </si>
  <si>
    <t>Apoio consultoria ( BR-116/465/493/RJ/MG)</t>
  </si>
  <si>
    <t>Obs.: 1 atividade por semana, sendo 4 atividades = 1 mês</t>
  </si>
  <si>
    <t>ANEXO V - MAPA COMPARATIVO DE PREÇOS</t>
  </si>
  <si>
    <t>1. IDENTIFICAÇÃO DAS EMPRESAS/PROFISSIONAIS</t>
  </si>
  <si>
    <t>N.º de ordem</t>
  </si>
  <si>
    <t>Nome/Razão Social</t>
  </si>
  <si>
    <t>CNPJ</t>
  </si>
  <si>
    <t>PAVESYS ENGENHARIA S/S LTDA</t>
  </si>
  <si>
    <t>04.449.094/0001-31</t>
  </si>
  <si>
    <t>SOLOCAP GEOTECNOLOGIA RODOVIARIA LTDA</t>
  </si>
  <si>
    <t>25.349.382/0001-94</t>
  </si>
  <si>
    <t>STE SERVICOS TECNICOS DE ENGENHARIA S.A.</t>
  </si>
  <si>
    <t>88.849.773/0001-98</t>
  </si>
  <si>
    <t>STRATA ENGENHARIA LTDA</t>
  </si>
  <si>
    <t>38.743.357/0001-32</t>
  </si>
  <si>
    <t>2. COTAÇÃO DE PREÇOS POR EMPRESA</t>
  </si>
  <si>
    <t>Item
Número</t>
  </si>
  <si>
    <t>Especificação do Objeto</t>
  </si>
  <si>
    <t xml:space="preserve"> Unidade de Fornecimento ou de Cotação do Preço</t>
  </si>
  <si>
    <t>Empresa 1</t>
  </si>
  <si>
    <t>Empresa 2</t>
  </si>
  <si>
    <t>Empresa 3</t>
  </si>
  <si>
    <t>Empresa 4</t>
  </si>
  <si>
    <t>Levantamento Deflectométrico (Falling Weight Deflectometer - FWD)</t>
  </si>
  <si>
    <t>Levantamento do Índice de Irregularidade Longitudinal (International Roughness Index - IRI)</t>
  </si>
  <si>
    <t>Ensaio de Mancha de Areia (Macrotextura)</t>
  </si>
  <si>
    <t>und.</t>
  </si>
  <si>
    <t>Avaliação da Retrorrefletividade - Sinalização Vertical e Horizontal</t>
  </si>
  <si>
    <t>km</t>
  </si>
  <si>
    <t>Valor total estimado (R$)</t>
  </si>
  <si>
    <t>De acordo.</t>
  </si>
  <si>
    <t>Custos Diversos Escritório</t>
  </si>
  <si>
    <t>Imóvel Comercial (2,32% do C.M.C.C - SINAPI)</t>
  </si>
  <si>
    <t>Mobiliário Escritório</t>
  </si>
  <si>
    <t>Composição dos Custos para Elaboração dos Relatórios:</t>
  </si>
  <si>
    <t>EMPRESA</t>
  </si>
  <si>
    <t>C-1  - Veículos</t>
  </si>
  <si>
    <t>C-2 - Diárias</t>
  </si>
  <si>
    <t>Obs.  200 km - (20 km/dia)  - 8 diárias/pessoa</t>
  </si>
  <si>
    <t>A</t>
  </si>
  <si>
    <t>C</t>
  </si>
  <si>
    <t>UNIDADE</t>
  </si>
  <si>
    <t>QUANTIDADE</t>
  </si>
  <si>
    <t>VALOR UNITÁRIO</t>
  </si>
  <si>
    <t>(IV/4)</t>
  </si>
  <si>
    <t xml:space="preserve">ANEXO VIII - LISTA DE FORNECEDORES </t>
  </si>
  <si>
    <t>[Gerência - Superintendência]</t>
  </si>
  <si>
    <t>[Telefone e e-mail]</t>
  </si>
  <si>
    <t>Razão Social</t>
  </si>
  <si>
    <t>Email</t>
  </si>
  <si>
    <t>Endereço</t>
  </si>
  <si>
    <t>Telefone</t>
  </si>
  <si>
    <t>Correspondência de consulta</t>
  </si>
  <si>
    <t>vendas@solocap.com.br
geotecnia01@solocap.com.br
geotecnia02@solocap.com.br
e.cardoso@solocap.com.br</t>
  </si>
  <si>
    <t>Av. dos Açudes, 99 – Alto dos Pinheiros, Belo Horizonte – Minas Gerais – CEP: 30.530-720</t>
  </si>
  <si>
    <t>(31) 3047-7460</t>
  </si>
  <si>
    <t>DYNATEST ENGENHARIA LTDA</t>
  </si>
  <si>
    <t xml:space="preserve"> 32.116.154/0001-30</t>
  </si>
  <si>
    <t>contato@dynatest.com.br / rogerio.freitas@dynatest.com.br</t>
  </si>
  <si>
    <t>Rua Peixoto Gomide, nº 996, Cj. 810 - SÃO PAULO/SP-CEP 01409-900</t>
  </si>
  <si>
    <t>(11) 3149 3969</t>
  </si>
  <si>
    <t>pavesys@pavesys.com.br</t>
  </si>
  <si>
    <t>RS - AV. LOUREIRO DA SILVA, 2001/820 - CIDADE BAIXA -PORTO ALEGRE/RS, 90050-240</t>
  </si>
  <si>
    <t>(51) 3212-7940</t>
  </si>
  <si>
    <t>Rua Castelo de Sintra, 24 – Castelo
Belo Horizonte – MG
CEP 31330-200</t>
  </si>
  <si>
    <t>(31) 2129-1400</t>
  </si>
  <si>
    <t>SR ENGENHARIA EIRELI</t>
  </si>
  <si>
    <t>33.543.232/0001-45</t>
  </si>
  <si>
    <t>atendimento@srengenharia.net / gustavolira@srengenharia.net</t>
  </si>
  <si>
    <t>Rua Maria de Almeida Magalhães, 15 – Sousas, Campinas – SP, 13106-016</t>
  </si>
  <si>
    <t>(19) 3044-1044</t>
  </si>
  <si>
    <t>ROADRUNNER ENGENHARIA LTDA</t>
  </si>
  <si>
    <t>04.120.489/0001-96</t>
  </si>
  <si>
    <t>Rodovia Geraldo Scavone, 2080 - Galpão 37-Jd Califórnia - Jacareí - São Paulo - 12305-490</t>
  </si>
  <si>
    <t>(11) 3090-5605</t>
  </si>
  <si>
    <t>COPAVEL CONSULTORIA DE ENGENHARIA LTDA</t>
  </si>
  <si>
    <t>16.630.592/0001-65</t>
  </si>
  <si>
    <t>engenharia@copavel.com.br / copavel@copavel.com.br</t>
  </si>
  <si>
    <t>Rua Catulo da Paixão Cearense, 249 - Vila Saúde, São Paulo - SP - 04145-010</t>
  </si>
  <si>
    <t>(11) 5587-1388</t>
  </si>
  <si>
    <t>AFIRMA - ENGENHARIA E PROJETOS LTDA</t>
  </si>
  <si>
    <t>05.205.684/0001-81</t>
  </si>
  <si>
    <t>comercial@afirma.eng.br</t>
  </si>
  <si>
    <t>Rua Moçambique, nº 273, Centro, Pinhais - PR - CEP 83320-190</t>
  </si>
  <si>
    <t>PLANSERVI ENGENHARIA LTDA</t>
  </si>
  <si>
    <t>65.525.404/0001-44</t>
  </si>
  <si>
    <t>comercial@planservi.com.br / ana_paula@planservi.com.br</t>
  </si>
  <si>
    <t>Avenida Brigadeiro Faria Lima, 1461 - 18º andar - conjunto 181 - Torre Sul - São Paulo - SP - CEP 01452-002</t>
  </si>
  <si>
    <t>ENGESPA CONSULTORIA E ENGENHARIA EIRELI</t>
  </si>
  <si>
    <t>14.981.816/0001-58</t>
  </si>
  <si>
    <t>Rua dos Inconfidentes, 867,Andar Segundo,FUNCIONARIOS
BELO HORIZONTE - MG 30140-120</t>
  </si>
  <si>
    <t>(31) 2532-2458</t>
  </si>
  <si>
    <t>PROSUL PROJETOS SUPERVISÃO E PLANEJAMENTO LTDA</t>
  </si>
  <si>
    <t xml:space="preserve"> 80.996-861/0001-00</t>
  </si>
  <si>
    <t>Rua Saldanha Marinho, 116 - Edifício Liberal Center, 3º andar - Centro - 88010-450 - Florianópolis - SC</t>
  </si>
  <si>
    <t xml:space="preserve"> (48) 3027-2730 / FAX (48)3027-27-31</t>
  </si>
  <si>
    <t>ENECON S.A. ENGENHEIROS E ECONOMISTAS CONSULTORES</t>
  </si>
  <si>
    <t>33.830.043/0001-53</t>
  </si>
  <si>
    <t>enecon.poa@enecon.com.br</t>
  </si>
  <si>
    <t>Avenida Ipiranga, 6929, PARTENON
PORTO ALEGRE/RS - CEP 90610-001</t>
  </si>
  <si>
    <t>INCORP-CONSULTORIA E ASSESSORIA LTDA</t>
  </si>
  <si>
    <t>91.807.974/0001-37</t>
  </si>
  <si>
    <t>incorp@incorpconsultoria.com.br</t>
  </si>
  <si>
    <t>Avenida Plinio Brasil Milano, 1305, HIGIENOPOLIS
PORTO ALEGRE/RS - CEP 90520-002</t>
  </si>
  <si>
    <t>(51) 3328 2366</t>
  </si>
  <si>
    <t>MAGNA ENGENHARIA LTDA</t>
  </si>
  <si>
    <t>33.980.905/0001-24</t>
  </si>
  <si>
    <t>Rua Dom Pedro II, 331 - São João - Porto Alegre/RS - CEP 90550-142</t>
  </si>
  <si>
    <t>(51) 2104-0000</t>
  </si>
  <si>
    <t>Rua Saldanha da Gama, 225, HARMONIA
CANOAS/RS - CEP 92310-630</t>
  </si>
  <si>
    <t>(51) 3415-4019</t>
  </si>
  <si>
    <t>ATP ENGENHARIA LTDA</t>
  </si>
  <si>
    <t>35.467.604/0001-27</t>
  </si>
  <si>
    <t>Alameda Santos, 745, Conj. 111/112
Cerqueira César – Cep: 01419-001
São Paulo - Brasil</t>
  </si>
  <si>
    <t>(11) 3266 2769</t>
  </si>
  <si>
    <t>TRAFECON ENGENHARIA LTDA</t>
  </si>
  <si>
    <t>42.267.203/0001-99</t>
  </si>
  <si>
    <t>trafecon@trafecon.com.br</t>
  </si>
  <si>
    <t>(61) 3255-1279</t>
  </si>
  <si>
    <t>Nome/assinatura</t>
  </si>
  <si>
    <t>Setor Shn Quadra 1, S/N, Bloco A Conjunto A Sala 1414 Parte Qe Edif Le Quartier Bureau, ASA NORTE, BRASILIA - DF; 70701-000</t>
  </si>
  <si>
    <t>ENSAIOS e DESPESAS GERAIS</t>
  </si>
  <si>
    <t>C-1 - Levantamento Deflectométrico (Falling Weight Deflectometer - FWD)</t>
  </si>
  <si>
    <t>C-2 - Levantamento do Índice de Irregularidade Longitudinal (International Roughness Index - IRI)</t>
  </si>
  <si>
    <t>C-4 - Ensaio de Mancha de Areia (Macrotextura)</t>
  </si>
  <si>
    <t>C-5  - Veículos</t>
  </si>
  <si>
    <t>C-6 - Diárias</t>
  </si>
  <si>
    <t>km x linear</t>
  </si>
  <si>
    <t>C-2  - Veículos</t>
  </si>
  <si>
    <t>C-3 - Diárias</t>
  </si>
  <si>
    <t>C-2 - Veículos</t>
  </si>
  <si>
    <t>Avaliação da Retrorrefletividade - Sinalização Vertical</t>
  </si>
  <si>
    <t>Avaliação da Retrorrefletividade - Sinalização Horizontal</t>
  </si>
  <si>
    <t>C-1 - Avaliação da Retrorrefletividade - Sinalização Horizontal</t>
  </si>
  <si>
    <t>C-1 - Avaliação da Retrorrefletividade - Sinalização Vertical</t>
  </si>
  <si>
    <t>V - Total do orçamento (ano)</t>
  </si>
  <si>
    <t>Equipe de Coordenação</t>
  </si>
  <si>
    <t>"I"+"II"+"III"+"IV"</t>
  </si>
  <si>
    <t>IV - Custo Gerencial</t>
  </si>
  <si>
    <t>Levantamentos e Despesas Gerais (BR-101/ES/BA)</t>
  </si>
  <si>
    <t>Levantamentos e Despesas Gerais ( BR-116/465/493/RJ/MG)</t>
  </si>
  <si>
    <t>C - Levantamentos e Despesas gerais</t>
  </si>
  <si>
    <t xml:space="preserve">V - Total do orçamento </t>
  </si>
  <si>
    <t>Resumo da composição do preço unitário item 4.1</t>
  </si>
  <si>
    <t>Resumo da composição do preço unitário item 10.1</t>
  </si>
  <si>
    <t>Resumo da composição do preço unitário item 5.1</t>
  </si>
  <si>
    <t>Resumo da composição do preço unitário item 11.1</t>
  </si>
  <si>
    <t>Resumo da composição do preço unitário item 6.1</t>
  </si>
  <si>
    <t>Resumo da composição do preço unitário item 12.1</t>
  </si>
  <si>
    <t>CPU - EQUIPE DE COORDENAÇÃO</t>
  </si>
  <si>
    <t>Resumo da composição do preço unitário ( BR-116/465/493/RJ/MG)</t>
  </si>
  <si>
    <t>Resumo da composição do preço unitário (BR-101/ES/BA)</t>
  </si>
  <si>
    <t>Consultoria especializada (BR-101/ES/BA)</t>
  </si>
  <si>
    <t>Consultoria especializada (BR-116/465/493/RJ/MG)</t>
  </si>
  <si>
    <t>ITENS</t>
  </si>
  <si>
    <t>EXECUÇÃO FÍSICA</t>
  </si>
  <si>
    <t>Resumo do Contrato de Supervisão - Anual</t>
  </si>
  <si>
    <t>EXECUÇÃO FÍSICA-FINANCEIRA (R$/Mês)</t>
  </si>
  <si>
    <t>Engenheiro de projetos pleno</t>
  </si>
  <si>
    <t>luiz.quaresma@strata.com.br
bernar.campos@strata.com.br
comercial@strata.com.br
renan.costa@strata.com.br</t>
  </si>
  <si>
    <t>contato@rrunner.com.br
comercial@rrunner.com.br</t>
  </si>
  <si>
    <t>(41) 3244-6396</t>
  </si>
  <si>
    <t>(11) 3304-1481</t>
  </si>
  <si>
    <t>contato@engespa.com.br
adson.alecrim@gmail.com</t>
  </si>
  <si>
    <t>prosul@prosul.com
do@prosul.com</t>
  </si>
  <si>
    <t>(51)3336-5288/
FAX: (51)3339-6535</t>
  </si>
  <si>
    <t>contato@magnaeng.com.br
informatica@magnaeng.com.br
wagner.tarasiuk@magnaeng.com.br</t>
  </si>
  <si>
    <t>ste@stesa.com.br
daniel@stesa.com.br
zelia@stesa.com.br</t>
  </si>
  <si>
    <t>geral@future.atp.eng.br
marlos@future-motion.eu</t>
  </si>
  <si>
    <t>LOTE 1</t>
  </si>
  <si>
    <t>LOTE 2</t>
  </si>
  <si>
    <t>14.1</t>
  </si>
  <si>
    <t>15.1</t>
  </si>
  <si>
    <t>16.1</t>
  </si>
  <si>
    <t>17.1</t>
  </si>
  <si>
    <t>18.1</t>
  </si>
  <si>
    <t>19.1</t>
  </si>
  <si>
    <t>TOTAL LOTE 1</t>
  </si>
  <si>
    <t>TOTAL LOTE 2</t>
  </si>
  <si>
    <t>1.3</t>
  </si>
  <si>
    <t>Consultoria especializada (Via Bahia)</t>
  </si>
  <si>
    <t xml:space="preserve">Apoio consultoria (BR-116/324/526/528/BA) </t>
  </si>
  <si>
    <t xml:space="preserve">Despesas Gerais (BR-116/324/526/528/BA) </t>
  </si>
  <si>
    <t>Resumo da composição do preço unitário item 1.3</t>
  </si>
  <si>
    <t xml:space="preserve">(BR-116/324/526/528/BA) </t>
  </si>
  <si>
    <t>DECRETO Nº 11.117, DE 1º DE JULHO DE 2022</t>
  </si>
  <si>
    <t>Deslocamentos para Brasília/Manaus/ Rio de Janeiro/São Paulo</t>
  </si>
  <si>
    <t>c) CCE-17; CCE-16; CCE-15;
CCE-14; CCE-13 e equivalentes</t>
  </si>
  <si>
    <t>d) Demais cargos, empregos e
funções</t>
  </si>
  <si>
    <t xml:space="preserve">Apoio no Acompanhamento da Conservação, Manutenção, Operação e Obras (BR-116/324/526/528/BA) </t>
  </si>
  <si>
    <t>C-1 - Veículos</t>
  </si>
  <si>
    <r>
      <t>Resumo da composição do preço unitário item</t>
    </r>
    <r>
      <rPr>
        <sz val="16"/>
        <color theme="1"/>
        <rFont val="Calibri"/>
        <family val="2"/>
        <scheme val="minor"/>
      </rPr>
      <t xml:space="preserve"> </t>
    </r>
    <r>
      <rPr>
        <b/>
        <sz val="16"/>
        <color theme="1"/>
        <rFont val="Calibri"/>
        <family val="2"/>
        <scheme val="minor"/>
      </rPr>
      <t>14.1</t>
    </r>
  </si>
  <si>
    <t>Levantamentos e Despesas Gerais (BR-116/324/526/528/BA)</t>
  </si>
  <si>
    <t>Apoio na Análise da Monitoração do Pavimento (BR-116/324/526/528/BA)</t>
  </si>
  <si>
    <t>Resumo da composição do preço unitário item 15.1</t>
  </si>
  <si>
    <t>Apoio na Análise da Monitoração do Sinalização Horizontal (BR-116/324/526/528/BA)</t>
  </si>
  <si>
    <t>Despesas Gerais (BR-116/324/526/528/BA)</t>
  </si>
  <si>
    <t>Resumo da composição do preço unitário item 16.1</t>
  </si>
  <si>
    <t>Apoio na Análise da Monitoração do Sinalização  Vertical (BR-116/324/526/528/BA)</t>
  </si>
  <si>
    <t>Resumo da composição do preço unitário item 17.1</t>
  </si>
  <si>
    <t>Apoio na Análise da Monitoração das Obras de Arte Especial (BR-116/324/526/528/BA)</t>
  </si>
  <si>
    <t>Resumo da composição do preço unitário item 18.1</t>
  </si>
  <si>
    <t>Apoio na Análise da Monitoração dos Terraplenos e Estruturas de Contenção (BR-116/324/526/528/BA)</t>
  </si>
  <si>
    <t>Resumo da composição do preço unitário item 19.1</t>
  </si>
  <si>
    <t>1.1, 1.2 e 1.3 Relatórios de consultoria</t>
  </si>
  <si>
    <t>2.1, 8.1 e 14.1 Relatório de Apoio no Acompanhamento da Conservação, Manutenção, Operação e Obras</t>
  </si>
  <si>
    <t>3.1, 9.1 e 15.1 Relatório de Apoio na Análise da Monitoração do Pavimento</t>
  </si>
  <si>
    <t>4.1, 10.1 e 16.1 Relatório de Apoio na Análise da Monitoração da Sinalização Horizontal</t>
  </si>
  <si>
    <t>5.1, 11.1 e 17.1 Relatório de Apoio na Análise da Monitoração da Sinalização Vertical</t>
  </si>
  <si>
    <t>6.1, 12.1 e 18.1 Relatório de Apoio na Análise da Monitoração das Obras de Arte Especial</t>
  </si>
  <si>
    <t>7.1, 13.1 e 19.1 Relatório de Apoio na Análise da Monitoração dos Terraplenos e Estruturas de Contenção</t>
  </si>
  <si>
    <t>Apoio coordenação (BR-116/324/526/528/BA)</t>
  </si>
  <si>
    <t>Apoio coordenação (BR-116/465/493/RJ/MG)</t>
  </si>
  <si>
    <t>BA</t>
  </si>
  <si>
    <t>2ª Etapa</t>
  </si>
  <si>
    <t>BR 116/324/BA e BA 526/528</t>
  </si>
  <si>
    <t>C-3 - Custos Diversos Escritório</t>
  </si>
  <si>
    <t>C-4 - Imóvel Comercial (2,32% do C.M.C.C - SINAPI)</t>
  </si>
  <si>
    <t>C-5 - Mobiliário Escritório</t>
  </si>
  <si>
    <r>
      <t xml:space="preserve">Avaliação da Retrorrefletividade
Sinalização </t>
    </r>
    <r>
      <rPr>
        <b/>
        <i/>
        <sz val="10"/>
        <color theme="1"/>
        <rFont val="Arial"/>
        <family val="2"/>
      </rPr>
      <t>HORIZONTAL</t>
    </r>
  </si>
  <si>
    <r>
      <t xml:space="preserve">Avaliação da Retrorrefletividade - Sinalização </t>
    </r>
    <r>
      <rPr>
        <b/>
        <i/>
        <sz val="10"/>
        <color theme="1"/>
        <rFont val="Arial"/>
        <family val="2"/>
      </rPr>
      <t>VERTICAL</t>
    </r>
  </si>
  <si>
    <t>BR-116/324/526/528/BA
Via Bahia</t>
  </si>
  <si>
    <t>Relatório de consultoria (BR-116/324/526/528/BA)</t>
  </si>
  <si>
    <t>LOTE 01</t>
  </si>
  <si>
    <t xml:space="preserve">LOTE 01
</t>
  </si>
  <si>
    <t xml:space="preserve">LOTE 02
</t>
  </si>
  <si>
    <t>BR-101/ES/BA
Eco 101
BR-116/465/493
Rio de Janeiro - Governador Valadares</t>
  </si>
  <si>
    <t>CRONOGRAMA FINANCEIRO:</t>
  </si>
  <si>
    <t>TOTAL PREVISTO</t>
  </si>
  <si>
    <t>Consultoria especializada (BR-116/324/526/528/BA)</t>
  </si>
  <si>
    <t>RELATÓRIOS DE MONITORAÇÃO e CONSULTORIA ESPECIALIZADA</t>
  </si>
  <si>
    <t>TOTAL RELATÓRIOS DE MONITORAÇÃO - LOTE 2</t>
  </si>
  <si>
    <t>TOTAL RELATÓRIOS DE MONITORAÇÃO - LOTE 1</t>
  </si>
  <si>
    <t>LOTE 02</t>
  </si>
  <si>
    <t>CONSULTRAFFIC ASSESSORIA E SERVICOS LTDA</t>
  </si>
  <si>
    <t>RUA CASTELO DE ÓBIDOS, 361 – BAIRRO CASTELO
BELO HORIZONTE / MG – CEP 31.330-320</t>
  </si>
  <si>
    <t>iuri.lara@consultraffic.com.br</t>
  </si>
  <si>
    <t>EGETRA ENGENHARIA LTDA</t>
  </si>
  <si>
    <t>contato@egetra.com.br; jroberto@egetra.com.br</t>
  </si>
  <si>
    <t>RUA JOÃO AKAMINE, 657 - SANTA FE
CAMPO GRANDE / MS - 79021-240</t>
  </si>
  <si>
    <t>ALTA ENGENHARIA DE INFRAESTRUTURA LTDA.</t>
  </si>
  <si>
    <t>AV. RAJA GABÁGLIA, 2000 - ESTORIL
BELO HORIZONTE / MG - CEP: 30.360-670</t>
  </si>
  <si>
    <t>bruno.siqueria@altaempresas.com.br</t>
  </si>
  <si>
    <t>GEOTECH ENGENHARIA - CONSULTORIA E ENSAIOS TECNOLÓGICOS</t>
  </si>
  <si>
    <t>vitor.goes@geotechengenharia.com.br; comercial@geotech.eng.br; setortecnico@geotech.eng.br</t>
  </si>
  <si>
    <t>RUA BERNARDO MASCARENHAS, 1688 - MARIANO PROCÓPIO
JUIZ DE FORA / MG - CEP: 36.080-000</t>
  </si>
  <si>
    <t>16.884.456/0001-00</t>
  </si>
  <si>
    <t>04.769.095/0001-63</t>
  </si>
  <si>
    <t>01.415.130/0001-58</t>
  </si>
  <si>
    <t>15.842.534/0001-32</t>
  </si>
  <si>
    <t>(31) 3361-1717
(31) 3362-1587</t>
  </si>
  <si>
    <t>(67) 3326-7786</t>
  </si>
  <si>
    <t>(31) 3264-1388</t>
  </si>
  <si>
    <t>(32) 3217-4899</t>
  </si>
  <si>
    <t>ANTT - OFÍCIO SEI Nº 19426/2022/SUROD/DIR-ANTT (SEI nº 12093255)</t>
  </si>
  <si>
    <t>ANTT - OFÍCIO SEI Nº 19429/2022/SUROD/DIR-ANTT (SEI nº 12093616)</t>
  </si>
  <si>
    <t>ANTT - OFÍCIO SEI Nº 19434/2022/SUROD/DIR-ANTT (SEI nº 12093869)</t>
  </si>
  <si>
    <t>ANTT - OFÍCIO SEI Nº 19634/2022/SUROD/DIR-ANTT (SEI nº 12147137)</t>
  </si>
  <si>
    <t>ANTT - OFÍCIO 18595/2021/GEENG/SUROD/DIR-ANTT (SEI nº 7215115)</t>
  </si>
  <si>
    <t>ANTT - OFÍCIO 18597/2021/GEENG/SUROD/DIR-ANTT (SEI nº 7215187)</t>
  </si>
  <si>
    <t>ANTT - OFÍCIO 18608/2021/GEENG/SUROD/DIR-ANTT (SEI nº 7216526)</t>
  </si>
  <si>
    <t>ANTT - OFÍCIO 18609/2021/GEENG/SUROD/DIR-ANTT (SEI nº 7216531)</t>
  </si>
  <si>
    <t>ANTT - OFÍCIO 18610/2021/GEENG/SUROD/DIR-ANTT (SEI nº 7216547)</t>
  </si>
  <si>
    <t>ANTT - OFÍCIO 18611/2021/GEENG/SUROD/DIR-ANTT (SEI nº 7216571)</t>
  </si>
  <si>
    <t>ANTT - OFÍCIO 18613/2021/GEENG/SUROD/DIR-ANTT (SEI nº 7216593)</t>
  </si>
  <si>
    <t>ANTT - OFÍCIO 18614/2021/GEENG/SUROD/DIR-ANTT (SEI nº 7216619)</t>
  </si>
  <si>
    <t>ANTT - OFÍCIO 18615/2021/GEENG/SUROD/DIR-ANTT (SEI nº 7216638)</t>
  </si>
  <si>
    <t>ANTT - OFÍCIO 18617/2021/GEENG/SUROD/DIR-ANTT (SEI nº 7216652)</t>
  </si>
  <si>
    <t>ANTT - OFÍCIO 18160/2021/GEENG/SUROD/DIR-ANTT (SEI nº 7163296)</t>
  </si>
  <si>
    <t>ANTT - OFÍCIO 18618/2021/GEENG/SUROD/DIR-ANTT (SEI nº 7216684)</t>
  </si>
  <si>
    <t>ANTT - OFÍCIO 18619/2021/GEENG/SUROD/DIR-ANTT (SEI nº 7216698)</t>
  </si>
  <si>
    <t>ANTT - OFÍCIO 18620/2021/GEENG/SUROD/DIR-ANTT (SEI nº 7216712)</t>
  </si>
  <si>
    <t>ANTT - OFÍCIO 18621/2021/GEENG/SUROD/DIR-ANTT (SEI nº 7216734)</t>
  </si>
  <si>
    <t>ANTT - OFÍCIO 18622/2021/GEENG/SUROD/DIR-ANTT (SEI nº 7216749)</t>
  </si>
  <si>
    <t>ANTT - OFÍCIO 18623/2021/GEENG/SUROD/DIR-ANTT (SEI nº 7216754)</t>
  </si>
  <si>
    <t xml:space="preserve">P8001 </t>
  </si>
  <si>
    <t xml:space="preserve">P8002 </t>
  </si>
  <si>
    <t xml:space="preserve">P8003 </t>
  </si>
  <si>
    <t xml:space="preserve">P8007 </t>
  </si>
  <si>
    <t>Tabela 1 - Consolidação dos custos de mão de obra - Tabela de Preços de Consultoria - mês de referência: abril de 2022</t>
  </si>
  <si>
    <t>Tabela de Preços de Consultoria - mês de referência: abril de 2022</t>
  </si>
  <si>
    <t>LBR ENGENHARIA E CONSULTORIA LTDA</t>
  </si>
  <si>
    <t>01.573.246/0001-15</t>
  </si>
  <si>
    <t>Levantamento das Condições de superfície</t>
  </si>
  <si>
    <t>LVC/IGG</t>
  </si>
  <si>
    <t>Avaliação das Condições de superfície</t>
  </si>
  <si>
    <t>C-3 - Avaliação das Condições de superfície</t>
  </si>
  <si>
    <t>Empresa 5</t>
  </si>
  <si>
    <t>IMTRAFF - CONSULTORIA E PROJETOS DE ENGENHARIA LTDA</t>
  </si>
  <si>
    <t>contato@imtraff.com.br; kleberson@imtraff.com.br</t>
  </si>
  <si>
    <t>AV. CRISTIANO MACHADO, 640 – SALA 1106 - BAIRRO: SAGRADA FAMÍLIA
BELO HORIZONTE/MG- CEP: 31.030-514
BRASILIA/DF - CEP 70.701-000</t>
  </si>
  <si>
    <t>mario.silveira@lbreng.com.br; luana@lbreng.com.br</t>
  </si>
  <si>
    <t>RUA AUGUSTA Nº 2840, 2º ANDAR - CERQUEIRA CÉSAR
SÃO PAULO/SP - CEP:01.412-100</t>
  </si>
  <si>
    <t>ANTT - OFÍCIO SEI Nº 21939/2022/SUROD/DIR-ANTT (SEI nº 12419797)</t>
  </si>
  <si>
    <t>ANTT - OFÍCIO SEI Nº 21938/2022/SUROD/DIR-ANTT (SEI nº 12419655)</t>
  </si>
  <si>
    <t>CEPLLA CONSULTORIA DE ENGENHARIA LTDA</t>
  </si>
  <si>
    <t>RUA CEARÁ, Nº 211, SALA 801 – BAIRRO SANTA EFIGÊNIA
BELO HORIZONTE/MG - CEP: 30.150-310</t>
  </si>
  <si>
    <t>flavio.paoli@gmail.com; paoli.flavio@ceppla.com.br</t>
  </si>
  <si>
    <t>ANTT -  OFÍCIO SEI Nº 21998/2022/SUROD/DIR-ANTT (SEI nº 12429034)</t>
  </si>
  <si>
    <t xml:space="preserve">	08.103.958/0001-10</t>
  </si>
  <si>
    <t xml:space="preserve">	01.573.246/0001-15</t>
  </si>
  <si>
    <t xml:space="preserve">	73.524.902/0001-09</t>
  </si>
  <si>
    <t>(31) 3201-0011
(31) 3201-0066</t>
  </si>
  <si>
    <t>(11) 3241-2789</t>
  </si>
  <si>
    <t>(31) 2516-8001</t>
  </si>
  <si>
    <t>Assinatura e carimbo
(Responsável pela Área demandante)</t>
  </si>
  <si>
    <t>Assinatura e carimbo
(Servidor responsável pela pesquisa)</t>
  </si>
  <si>
    <t>Empresa 6</t>
  </si>
  <si>
    <t>(D) 
Duração da atividade (horas)</t>
  </si>
  <si>
    <t>(D1) 
Duração da atividade (Horas)</t>
  </si>
  <si>
    <t>Obs.1: Uma equipe a cada 200km, sendo que:
LOTE 01 -  km total= (475,9+  726,9=1202) - então tenho 1202/200 = 6 equipes
LOTE 02 - km total= 680,6 - então tenho 680,6/200 = 3 equipes</t>
  </si>
  <si>
    <t>Obs. 2: 200 km - (20 km/dia),  8 diárias/pessoa para:
LOTE 01 - 12 pessoas (6 técnicos e 6 eng)
LOTE 02 - 6 pessoas (3 técnicos e 3 eng.)</t>
  </si>
  <si>
    <t>(D1) 
Duração da atividade (horas)</t>
  </si>
  <si>
    <t>BR-116/324/526/528/BA
(Via Bahia)</t>
  </si>
  <si>
    <r>
      <rPr>
        <b/>
        <sz val="10"/>
        <rFont val="Arial"/>
        <family val="2"/>
      </rPr>
      <t>Rodovias Federais:</t>
    </r>
    <r>
      <rPr>
        <sz val="10"/>
        <rFont val="Arial"/>
        <family val="2"/>
      </rPr>
      <t xml:space="preserve">
- </t>
    </r>
    <r>
      <rPr>
        <b/>
        <sz val="10"/>
        <rFont val="Arial"/>
        <family val="2"/>
      </rPr>
      <t>BR 116/BA</t>
    </r>
    <r>
      <rPr>
        <sz val="10"/>
        <rFont val="Arial"/>
        <family val="2"/>
      </rPr>
      <t xml:space="preserve">: trecho Feira de Santana - Div. BA/MG
</t>
    </r>
    <r>
      <rPr>
        <b/>
        <sz val="10"/>
        <rFont val="Arial"/>
        <family val="2"/>
      </rPr>
      <t>- BR 324/BA</t>
    </r>
    <r>
      <rPr>
        <sz val="10"/>
        <rFont val="Arial"/>
        <family val="2"/>
      </rPr>
      <t xml:space="preserve">: Trecho Salvador - Feira de Santana
</t>
    </r>
    <r>
      <rPr>
        <b/>
        <sz val="10"/>
        <rFont val="Arial"/>
        <family val="2"/>
      </rPr>
      <t>Rodovias Estaduais delegadas ao Governo Federal:</t>
    </r>
    <r>
      <rPr>
        <sz val="10"/>
        <rFont val="Arial"/>
        <family val="2"/>
      </rPr>
      <t xml:space="preserve">
</t>
    </r>
    <r>
      <rPr>
        <b/>
        <sz val="10"/>
        <rFont val="Arial"/>
        <family val="2"/>
      </rPr>
      <t>- BA 526:</t>
    </r>
    <r>
      <rPr>
        <sz val="10"/>
        <rFont val="Arial"/>
        <family val="2"/>
      </rPr>
      <t xml:space="preserve"> trecho Entr. BR 324 - Entr. BA 528
</t>
    </r>
    <r>
      <rPr>
        <b/>
        <sz val="10"/>
        <rFont val="Arial"/>
        <family val="2"/>
      </rPr>
      <t>- BA 528</t>
    </r>
    <r>
      <rPr>
        <sz val="10"/>
        <rFont val="Arial"/>
        <family val="2"/>
      </rPr>
      <t>: trecho Entr. Br 526 - Acesso à Base Naval de Aratu</t>
    </r>
  </si>
  <si>
    <t>BR-116/BA</t>
  </si>
  <si>
    <t>BR-324/BA</t>
  </si>
  <si>
    <t>BA-526</t>
  </si>
  <si>
    <t>BA-528</t>
  </si>
  <si>
    <t>CONTORNO - VC/BA</t>
  </si>
  <si>
    <t>CONTORNO - NORTE</t>
  </si>
  <si>
    <t>CONTORNO - SUL</t>
  </si>
  <si>
    <t>EXTENSÃO RODOVIAS</t>
  </si>
  <si>
    <t>Menor
Valor</t>
  </si>
  <si>
    <r>
      <t xml:space="preserve">       MAPA COMPARATIVO DE PREÇOS                                                                                                                                   </t>
    </r>
    <r>
      <rPr>
        <b/>
        <sz val="12"/>
        <color rgb="FF000000"/>
        <rFont val="Arial"/>
        <family val="2"/>
      </rPr>
      <t>PROCESSO N.º 50500.043576/2022-12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</si>
</sst>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1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-[$R$-416]\ * #,##0.00_-;\-[$R$-416]\ * #,##0.00_-;_-[$R$-416]\ * &quot;-&quot;??_-;_-@_-"/>
    <numFmt numFmtId="165" formatCode="_-* #,##0.00_-;\-* #,##0.00_-;_-* \-??_-;_-@_-"/>
    <numFmt numFmtId="166" formatCode="###0.00;###0.00"/>
    <numFmt numFmtId="167" formatCode="0.0"/>
    <numFmt numFmtId="168" formatCode="&quot;R$&quot;\ #,##0.00"/>
    <numFmt numFmtId="169" formatCode="000.00\ &quot;km&quot;"/>
    <numFmt numFmtId="170" formatCode="#,##0_ ;\-#,##0\ "/>
    <numFmt numFmtId="171" formatCode="0.00\ &quot;km&quot;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3"/>
      <color theme="1"/>
      <name val="Calibri"/>
      <family val="2"/>
      <scheme val="minor"/>
    </font>
    <font>
      <sz val="13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sz val="10"/>
      <color rgb="FF000000"/>
      <name val="Times New Roman"/>
      <family val="1"/>
    </font>
    <font>
      <b/>
      <sz val="12"/>
      <name val="Arial"/>
      <family val="2"/>
    </font>
    <font>
      <b/>
      <sz val="10"/>
      <name val="Arial"/>
      <family val="2"/>
    </font>
    <font>
      <b/>
      <sz val="6"/>
      <color rgb="FFFFFFFF"/>
      <name val="Arial"/>
      <family val="2"/>
    </font>
    <font>
      <sz val="6"/>
      <color rgb="FF000000"/>
      <name val="Arial"/>
      <family val="2"/>
    </font>
    <font>
      <b/>
      <sz val="6"/>
      <name val="Arial"/>
      <family val="2"/>
    </font>
    <font>
      <b/>
      <sz val="9"/>
      <name val="Arial"/>
      <family val="2"/>
    </font>
    <font>
      <b/>
      <sz val="9"/>
      <color rgb="FFFFFFFF"/>
      <name val="Arial"/>
      <family val="2"/>
    </font>
    <font>
      <sz val="9"/>
      <name val="Arial"/>
      <family val="2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b/>
      <sz val="12"/>
      <color theme="1"/>
      <name val="Arial"/>
      <family val="2"/>
    </font>
    <font>
      <sz val="12"/>
      <color theme="1"/>
      <name val="Arial"/>
      <family val="2"/>
    </font>
    <font>
      <sz val="14"/>
      <color theme="1"/>
      <name val="Arial"/>
      <family val="2"/>
    </font>
    <font>
      <b/>
      <sz val="11"/>
      <name val="Arial"/>
      <family val="2"/>
    </font>
    <font>
      <sz val="11"/>
      <color theme="1"/>
      <name val="Arial"/>
      <family val="2"/>
    </font>
    <font>
      <b/>
      <sz val="11"/>
      <color indexed="8"/>
      <name val="Arial"/>
      <family val="2"/>
    </font>
    <font>
      <b/>
      <sz val="10"/>
      <color indexed="8"/>
      <name val="Arial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2"/>
      <color theme="1"/>
      <name val="Ecofont Vera Sans"/>
      <family val="2"/>
    </font>
    <font>
      <i/>
      <sz val="11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b/>
      <sz val="14"/>
      <color theme="9" tint="-0.249977111117893"/>
      <name val="Calibri"/>
      <family val="2"/>
      <scheme val="minor"/>
    </font>
    <font>
      <b/>
      <sz val="11"/>
      <color indexed="8"/>
      <name val="Calibri"/>
      <family val="2"/>
      <scheme val="minor"/>
    </font>
    <font>
      <b/>
      <sz val="12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i/>
      <sz val="14"/>
      <color theme="1"/>
      <name val="Calibri "/>
    </font>
    <font>
      <sz val="12"/>
      <color theme="1"/>
      <name val="Ecofont Vera Sans"/>
      <family val="2"/>
    </font>
    <font>
      <b/>
      <sz val="12"/>
      <color theme="1"/>
      <name val="Ecofont Vera Sans"/>
    </font>
    <font>
      <b/>
      <i/>
      <sz val="14"/>
      <color theme="1"/>
      <name val="Arial"/>
      <family val="2"/>
    </font>
    <font>
      <b/>
      <sz val="12"/>
      <color rgb="FF000000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b/>
      <i/>
      <sz val="10"/>
      <color theme="1"/>
      <name val="Arial"/>
      <family val="2"/>
    </font>
    <font>
      <sz val="11"/>
      <name val="Arial"/>
      <family val="2"/>
    </font>
    <font>
      <b/>
      <sz val="11"/>
      <color indexed="9"/>
      <name val="Arial"/>
      <family val="2"/>
    </font>
    <font>
      <b/>
      <sz val="11"/>
      <color theme="0"/>
      <name val="Arial"/>
      <family val="2"/>
    </font>
    <font>
      <sz val="11"/>
      <color theme="0"/>
      <name val="Arial"/>
      <family val="2"/>
    </font>
    <font>
      <sz val="16"/>
      <color theme="1"/>
      <name val="Calibri"/>
      <family val="2"/>
      <scheme val="minor"/>
    </font>
    <font>
      <b/>
      <sz val="11"/>
      <color theme="1"/>
      <name val="Arial"/>
      <family val="2"/>
    </font>
    <font>
      <sz val="11"/>
      <color indexed="8"/>
      <name val="Arial"/>
      <family val="2"/>
    </font>
  </fonts>
  <fills count="20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rgb="FF003770"/>
        <bgColor indexed="64"/>
      </patternFill>
    </fill>
    <fill>
      <patternFill patternType="solid">
        <fgColor rgb="FF00376F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/>
        <bgColor indexed="34"/>
      </patternFill>
    </fill>
    <fill>
      <patternFill patternType="solid">
        <fgColor theme="3" tint="0.79998168889431442"/>
        <bgColor indexed="3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22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8" tint="0.79998168889431442"/>
        <bgColor indexed="22"/>
      </patternFill>
    </fill>
    <fill>
      <patternFill patternType="solid">
        <fgColor theme="4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4" tint="0.79998168889431442"/>
        <bgColor indexed="64"/>
      </patternFill>
    </fill>
  </fills>
  <borders count="1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00376F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 style="thick">
        <color rgb="FF003770"/>
      </top>
      <bottom/>
      <diagonal/>
    </border>
    <border>
      <left/>
      <right style="medium">
        <color rgb="FF000000"/>
      </right>
      <top style="thick">
        <color rgb="FF00377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ck">
        <color rgb="FF003770"/>
      </bottom>
      <diagonal/>
    </border>
    <border>
      <left/>
      <right style="medium">
        <color rgb="FF000000"/>
      </right>
      <top/>
      <bottom style="thick">
        <color rgb="FF00377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376F"/>
      </top>
      <bottom/>
      <diagonal/>
    </border>
    <border>
      <left style="thin">
        <color rgb="FF000000"/>
      </left>
      <right/>
      <top style="thin">
        <color rgb="FF00376F"/>
      </top>
      <bottom style="thin">
        <color rgb="FF000000"/>
      </bottom>
      <diagonal/>
    </border>
    <border>
      <left/>
      <right/>
      <top style="thin">
        <color rgb="FF00376F"/>
      </top>
      <bottom style="thin">
        <color rgb="FF000000"/>
      </bottom>
      <diagonal/>
    </border>
    <border>
      <left/>
      <right style="thin">
        <color rgb="FF000000"/>
      </right>
      <top style="thin">
        <color rgb="FF00376F"/>
      </top>
      <bottom style="thin">
        <color rgb="FF000000"/>
      </bottom>
      <diagonal/>
    </border>
    <border>
      <left style="thin">
        <color rgb="FF000000"/>
      </left>
      <right/>
      <top style="thin">
        <color rgb="FF00376F"/>
      </top>
      <bottom/>
      <diagonal/>
    </border>
    <border>
      <left/>
      <right style="thin">
        <color rgb="FF000000"/>
      </right>
      <top style="thin">
        <color rgb="FF00376F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auto="1"/>
      </right>
      <top style="thin">
        <color rgb="FF000000"/>
      </top>
      <bottom style="thin">
        <color auto="1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8"/>
      </bottom>
      <diagonal/>
    </border>
    <border>
      <left/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64"/>
      </left>
      <right/>
      <top style="medium">
        <color indexed="64"/>
      </top>
      <bottom style="thin">
        <color indexed="8"/>
      </bottom>
      <diagonal/>
    </border>
    <border>
      <left/>
      <right/>
      <top style="thin">
        <color indexed="8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12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" fillId="0" borderId="0"/>
    <xf numFmtId="43" fontId="4" fillId="0" borderId="0" applyFill="0" applyBorder="0" applyAlignment="0" applyProtection="0"/>
    <xf numFmtId="0" fontId="7" fillId="0" borderId="0"/>
    <xf numFmtId="165" fontId="7" fillId="0" borderId="0"/>
    <xf numFmtId="0" fontId="10" fillId="0" borderId="0"/>
    <xf numFmtId="9" fontId="1" fillId="0" borderId="0" applyFont="0" applyFill="0" applyBorder="0" applyAlignment="0" applyProtection="0"/>
    <xf numFmtId="9" fontId="4" fillId="0" borderId="0" applyFill="0" applyBorder="0" applyAlignment="0" applyProtection="0"/>
    <xf numFmtId="0" fontId="28" fillId="0" borderId="0"/>
    <xf numFmtId="0" fontId="36" fillId="0" borderId="0" applyNumberFormat="0" applyFill="0" applyBorder="0" applyAlignment="0" applyProtection="0"/>
  </cellStyleXfs>
  <cellXfs count="576">
    <xf numFmtId="0" fontId="0" fillId="0" borderId="0" xfId="0"/>
    <xf numFmtId="0" fontId="10" fillId="0" borderId="0" xfId="7" applyAlignment="1">
      <alignment horizontal="left" vertical="top"/>
    </xf>
    <xf numFmtId="0" fontId="13" fillId="3" borderId="52" xfId="0" applyFont="1" applyFill="1" applyBorder="1" applyAlignment="1">
      <alignment horizontal="center" vertical="center" wrapText="1"/>
    </xf>
    <xf numFmtId="0" fontId="13" fillId="3" borderId="52" xfId="0" applyFont="1" applyFill="1" applyBorder="1" applyAlignment="1">
      <alignment horizontal="left" vertical="center" wrapText="1"/>
    </xf>
    <xf numFmtId="0" fontId="13" fillId="3" borderId="37" xfId="0" applyFont="1" applyFill="1" applyBorder="1" applyAlignment="1">
      <alignment horizontal="center" vertical="center" wrapText="1"/>
    </xf>
    <xf numFmtId="0" fontId="15" fillId="4" borderId="36" xfId="7" applyFont="1" applyFill="1" applyBorder="1" applyAlignment="1">
      <alignment horizontal="center" vertical="center" wrapText="1"/>
    </xf>
    <xf numFmtId="0" fontId="16" fillId="4" borderId="64" xfId="7" applyFont="1" applyFill="1" applyBorder="1" applyAlignment="1">
      <alignment horizontal="center" vertical="center" wrapText="1"/>
    </xf>
    <xf numFmtId="0" fontId="17" fillId="4" borderId="64" xfId="7" applyFont="1" applyFill="1" applyBorder="1" applyAlignment="1">
      <alignment horizontal="center" vertical="center" wrapText="1"/>
    </xf>
    <xf numFmtId="0" fontId="16" fillId="4" borderId="60" xfId="7" applyFont="1" applyFill="1" applyBorder="1" applyAlignment="1">
      <alignment horizontal="center" vertical="center" wrapText="1"/>
    </xf>
    <xf numFmtId="0" fontId="11" fillId="0" borderId="0" xfId="7" applyFont="1" applyAlignment="1">
      <alignment vertical="top"/>
    </xf>
    <xf numFmtId="0" fontId="12" fillId="0" borderId="42" xfId="7" applyFont="1" applyBorder="1" applyAlignment="1">
      <alignment vertical="top"/>
    </xf>
    <xf numFmtId="0" fontId="23" fillId="0" borderId="0" xfId="0" applyFont="1" applyProtection="1">
      <protection locked="0"/>
    </xf>
    <xf numFmtId="43" fontId="23" fillId="0" borderId="0" xfId="0" applyNumberFormat="1" applyFont="1" applyProtection="1">
      <protection locked="0"/>
    </xf>
    <xf numFmtId="0" fontId="25" fillId="0" borderId="0" xfId="0" applyFont="1"/>
    <xf numFmtId="0" fontId="24" fillId="0" borderId="0" xfId="3" applyFont="1" applyAlignment="1">
      <alignment horizontal="left"/>
    </xf>
    <xf numFmtId="0" fontId="24" fillId="0" borderId="0" xfId="3" applyFont="1" applyAlignment="1">
      <alignment horizontal="center"/>
    </xf>
    <xf numFmtId="0" fontId="24" fillId="0" borderId="0" xfId="3" applyFont="1" applyAlignment="1">
      <alignment horizontal="right" vertical="center"/>
    </xf>
    <xf numFmtId="0" fontId="12" fillId="5" borderId="1" xfId="3" applyFont="1" applyFill="1" applyBorder="1" applyAlignment="1">
      <alignment horizontal="center" vertical="center" wrapText="1"/>
    </xf>
    <xf numFmtId="0" fontId="12" fillId="5" borderId="1" xfId="3" applyFont="1" applyFill="1" applyBorder="1" applyAlignment="1">
      <alignment horizontal="center" vertical="center"/>
    </xf>
    <xf numFmtId="0" fontId="28" fillId="10" borderId="75" xfId="0" applyFont="1" applyFill="1" applyBorder="1" applyAlignment="1">
      <alignment horizontal="justify" vertical="center" wrapText="1"/>
    </xf>
    <xf numFmtId="168" fontId="28" fillId="10" borderId="41" xfId="0" applyNumberFormat="1" applyFont="1" applyFill="1" applyBorder="1" applyAlignment="1">
      <alignment horizontal="center" vertical="center" wrapText="1"/>
    </xf>
    <xf numFmtId="168" fontId="28" fillId="10" borderId="76" xfId="0" applyNumberFormat="1" applyFont="1" applyFill="1" applyBorder="1" applyAlignment="1">
      <alignment horizontal="center" vertical="center" wrapText="1"/>
    </xf>
    <xf numFmtId="0" fontId="28" fillId="10" borderId="77" xfId="0" applyFont="1" applyFill="1" applyBorder="1" applyAlignment="1">
      <alignment horizontal="justify" vertical="center" wrapText="1"/>
    </xf>
    <xf numFmtId="168" fontId="12" fillId="5" borderId="1" xfId="3" applyNumberFormat="1" applyFont="1" applyFill="1" applyBorder="1" applyAlignment="1">
      <alignment horizontal="center" vertical="center"/>
    </xf>
    <xf numFmtId="164" fontId="0" fillId="16" borderId="1" xfId="1" applyNumberFormat="1" applyFont="1" applyFill="1" applyBorder="1"/>
    <xf numFmtId="164" fontId="0" fillId="16" borderId="20" xfId="1" applyNumberFormat="1" applyFont="1" applyFill="1" applyBorder="1"/>
    <xf numFmtId="0" fontId="0" fillId="10" borderId="0" xfId="0" applyFill="1" applyBorder="1"/>
    <xf numFmtId="0" fontId="0" fillId="10" borderId="0" xfId="0" applyFill="1"/>
    <xf numFmtId="164" fontId="0" fillId="10" borderId="0" xfId="0" applyNumberFormat="1" applyFill="1"/>
    <xf numFmtId="0" fontId="9" fillId="10" borderId="0" xfId="0" applyFont="1" applyFill="1" applyProtection="1">
      <protection locked="0"/>
    </xf>
    <xf numFmtId="0" fontId="0" fillId="10" borderId="0" xfId="0" applyFill="1" applyProtection="1">
      <protection locked="0"/>
    </xf>
    <xf numFmtId="164" fontId="2" fillId="16" borderId="13" xfId="0" applyNumberFormat="1" applyFont="1" applyFill="1" applyBorder="1"/>
    <xf numFmtId="0" fontId="2" fillId="10" borderId="0" xfId="0" applyFont="1" applyFill="1" applyAlignment="1">
      <alignment horizontal="center" vertical="center"/>
    </xf>
    <xf numFmtId="0" fontId="6" fillId="10" borderId="0" xfId="0" applyFont="1" applyFill="1"/>
    <xf numFmtId="0" fontId="2" fillId="10" borderId="0" xfId="0" applyFont="1" applyFill="1" applyBorder="1" applyAlignment="1">
      <alignment vertical="center"/>
    </xf>
    <xf numFmtId="0" fontId="0" fillId="10" borderId="0" xfId="0" applyFill="1" applyBorder="1" applyAlignment="1">
      <alignment vertical="center"/>
    </xf>
    <xf numFmtId="164" fontId="0" fillId="10" borderId="1" xfId="0" applyNumberFormat="1" applyFill="1" applyBorder="1"/>
    <xf numFmtId="164" fontId="0" fillId="16" borderId="13" xfId="0" applyNumberFormat="1" applyFill="1" applyBorder="1"/>
    <xf numFmtId="0" fontId="2" fillId="10" borderId="0" xfId="0" applyFont="1" applyFill="1" applyBorder="1" applyAlignment="1">
      <alignment horizontal="center" vertical="center"/>
    </xf>
    <xf numFmtId="0" fontId="2" fillId="10" borderId="0" xfId="0" applyFont="1" applyFill="1" applyBorder="1" applyAlignment="1">
      <alignment horizontal="right" vertical="center"/>
    </xf>
    <xf numFmtId="164" fontId="2" fillId="10" borderId="0" xfId="0" applyNumberFormat="1" applyFont="1" applyFill="1" applyBorder="1"/>
    <xf numFmtId="164" fontId="2" fillId="10" borderId="13" xfId="0" applyNumberFormat="1" applyFont="1" applyFill="1" applyBorder="1"/>
    <xf numFmtId="164" fontId="2" fillId="10" borderId="25" xfId="0" applyNumberFormat="1" applyFont="1" applyFill="1" applyBorder="1"/>
    <xf numFmtId="7" fontId="0" fillId="10" borderId="0" xfId="0" applyNumberFormat="1" applyFill="1"/>
    <xf numFmtId="0" fontId="0" fillId="10" borderId="1" xfId="0" applyFill="1" applyBorder="1"/>
    <xf numFmtId="0" fontId="27" fillId="10" borderId="1" xfId="5" applyFont="1" applyFill="1" applyBorder="1" applyAlignment="1">
      <alignment horizontal="center" vertical="center" wrapText="1"/>
    </xf>
    <xf numFmtId="0" fontId="2" fillId="10" borderId="1" xfId="0" applyFont="1" applyFill="1" applyBorder="1" applyAlignment="1">
      <alignment horizontal="center" vertical="center" wrapText="1"/>
    </xf>
    <xf numFmtId="0" fontId="8" fillId="10" borderId="1" xfId="5" applyFont="1" applyFill="1" applyBorder="1" applyAlignment="1">
      <alignment horizontal="left" vertical="center"/>
    </xf>
    <xf numFmtId="0" fontId="8" fillId="10" borderId="1" xfId="5" applyFont="1" applyFill="1" applyBorder="1" applyAlignment="1">
      <alignment horizontal="center" vertical="center"/>
    </xf>
    <xf numFmtId="0" fontId="0" fillId="10" borderId="1" xfId="0" applyFill="1" applyBorder="1" applyAlignment="1">
      <alignment horizontal="center" vertical="center"/>
    </xf>
    <xf numFmtId="0" fontId="0" fillId="10" borderId="1" xfId="0" applyFill="1" applyBorder="1" applyAlignment="1">
      <alignment horizontal="center"/>
    </xf>
    <xf numFmtId="164" fontId="2" fillId="10" borderId="1" xfId="0" applyNumberFormat="1" applyFont="1" applyFill="1" applyBorder="1"/>
    <xf numFmtId="44" fontId="0" fillId="10" borderId="1" xfId="0" applyNumberFormat="1" applyFill="1" applyBorder="1"/>
    <xf numFmtId="0" fontId="2" fillId="10" borderId="4" xfId="0" applyFont="1" applyFill="1" applyBorder="1" applyAlignment="1">
      <alignment horizontal="center" vertical="center"/>
    </xf>
    <xf numFmtId="0" fontId="2" fillId="10" borderId="17" xfId="0" applyFont="1" applyFill="1" applyBorder="1" applyAlignment="1">
      <alignment horizontal="center" vertical="center"/>
    </xf>
    <xf numFmtId="0" fontId="0" fillId="10" borderId="19" xfId="0" applyFill="1" applyBorder="1"/>
    <xf numFmtId="0" fontId="0" fillId="10" borderId="20" xfId="0" applyFill="1" applyBorder="1" applyAlignment="1">
      <alignment horizontal="right" vertical="center"/>
    </xf>
    <xf numFmtId="0" fontId="2" fillId="10" borderId="10" xfId="0" applyFont="1" applyFill="1" applyBorder="1" applyAlignment="1">
      <alignment horizontal="center" vertical="center"/>
    </xf>
    <xf numFmtId="0" fontId="0" fillId="10" borderId="20" xfId="0" applyFill="1" applyBorder="1" applyAlignment="1">
      <alignment horizontal="center" vertical="center"/>
    </xf>
    <xf numFmtId="0" fontId="2" fillId="10" borderId="30" xfId="0" applyFont="1" applyFill="1" applyBorder="1"/>
    <xf numFmtId="0" fontId="0" fillId="10" borderId="6" xfId="0" applyFill="1" applyBorder="1"/>
    <xf numFmtId="0" fontId="0" fillId="10" borderId="7" xfId="0" applyFill="1" applyBorder="1"/>
    <xf numFmtId="0" fontId="2" fillId="10" borderId="30" xfId="0" applyFont="1" applyFill="1" applyBorder="1" applyAlignment="1">
      <alignment horizontal="center" vertical="center"/>
    </xf>
    <xf numFmtId="164" fontId="0" fillId="16" borderId="13" xfId="0" applyNumberFormat="1" applyFont="1" applyFill="1" applyBorder="1"/>
    <xf numFmtId="0" fontId="2" fillId="10" borderId="13" xfId="0" applyFont="1" applyFill="1" applyBorder="1" applyAlignment="1">
      <alignment horizontal="center" vertical="center" wrapText="1"/>
    </xf>
    <xf numFmtId="0" fontId="2" fillId="10" borderId="12" xfId="0" applyFont="1" applyFill="1" applyBorder="1" applyAlignment="1">
      <alignment horizontal="center" vertical="center"/>
    </xf>
    <xf numFmtId="164" fontId="34" fillId="10" borderId="13" xfId="0" applyNumberFormat="1" applyFont="1" applyFill="1" applyBorder="1"/>
    <xf numFmtId="164" fontId="34" fillId="10" borderId="25" xfId="0" applyNumberFormat="1" applyFont="1" applyFill="1" applyBorder="1"/>
    <xf numFmtId="0" fontId="2" fillId="10" borderId="1" xfId="0" applyFont="1" applyFill="1" applyBorder="1" applyAlignment="1">
      <alignment horizontal="center" vertical="top" wrapText="1"/>
    </xf>
    <xf numFmtId="0" fontId="8" fillId="10" borderId="1" xfId="5" applyFont="1" applyFill="1" applyBorder="1" applyAlignment="1">
      <alignment vertical="center"/>
    </xf>
    <xf numFmtId="9" fontId="0" fillId="10" borderId="1" xfId="8" applyNumberFormat="1" applyFont="1" applyFill="1" applyBorder="1" applyAlignment="1">
      <alignment horizontal="center"/>
    </xf>
    <xf numFmtId="0" fontId="4" fillId="10" borderId="1" xfId="5" applyFont="1" applyFill="1" applyBorder="1" applyAlignment="1">
      <alignment vertical="center"/>
    </xf>
    <xf numFmtId="0" fontId="2" fillId="10" borderId="13" xfId="0" applyFont="1" applyFill="1" applyBorder="1" applyAlignment="1">
      <alignment horizontal="center" vertical="top" wrapText="1"/>
    </xf>
    <xf numFmtId="164" fontId="2" fillId="10" borderId="20" xfId="0" applyNumberFormat="1" applyFont="1" applyFill="1" applyBorder="1"/>
    <xf numFmtId="0" fontId="0" fillId="10" borderId="20" xfId="0" applyFill="1" applyBorder="1"/>
    <xf numFmtId="44" fontId="2" fillId="10" borderId="11" xfId="0" applyNumberFormat="1" applyFont="1" applyFill="1" applyBorder="1" applyAlignment="1">
      <alignment horizontal="center" vertical="top"/>
    </xf>
    <xf numFmtId="44" fontId="2" fillId="7" borderId="8" xfId="0" applyNumberFormat="1" applyFont="1" applyFill="1" applyBorder="1"/>
    <xf numFmtId="10" fontId="0" fillId="2" borderId="1" xfId="0" applyNumberFormat="1" applyFill="1" applyBorder="1" applyAlignment="1">
      <alignment horizontal="center"/>
    </xf>
    <xf numFmtId="10" fontId="0" fillId="2" borderId="20" xfId="0" applyNumberFormat="1" applyFill="1" applyBorder="1" applyAlignment="1">
      <alignment horizontal="center"/>
    </xf>
    <xf numFmtId="0" fontId="4" fillId="10" borderId="1" xfId="3" applyFill="1" applyBorder="1"/>
    <xf numFmtId="0" fontId="4" fillId="10" borderId="1" xfId="3" applyFill="1" applyBorder="1" applyAlignment="1">
      <alignment horizontal="center"/>
    </xf>
    <xf numFmtId="44" fontId="2" fillId="10" borderId="11" xfId="0" applyNumberFormat="1" applyFont="1" applyFill="1" applyBorder="1" applyAlignment="1">
      <alignment horizontal="center" vertical="top"/>
    </xf>
    <xf numFmtId="44" fontId="2" fillId="10" borderId="31" xfId="0" applyNumberFormat="1" applyFont="1" applyFill="1" applyBorder="1"/>
    <xf numFmtId="164" fontId="0" fillId="16" borderId="69" xfId="0" applyNumberFormat="1" applyFill="1" applyBorder="1"/>
    <xf numFmtId="7" fontId="0" fillId="10" borderId="87" xfId="1" applyNumberFormat="1" applyFont="1" applyFill="1" applyBorder="1"/>
    <xf numFmtId="164" fontId="0" fillId="16" borderId="69" xfId="1" applyNumberFormat="1" applyFont="1" applyFill="1" applyBorder="1"/>
    <xf numFmtId="0" fontId="2" fillId="10" borderId="86" xfId="0" applyFont="1" applyFill="1" applyBorder="1" applyAlignment="1">
      <alignment horizontal="center" vertical="center"/>
    </xf>
    <xf numFmtId="0" fontId="0" fillId="10" borderId="69" xfId="0" applyFill="1" applyBorder="1" applyAlignment="1">
      <alignment horizontal="center" vertical="center"/>
    </xf>
    <xf numFmtId="0" fontId="0" fillId="10" borderId="87" xfId="0" applyFill="1" applyBorder="1" applyAlignment="1">
      <alignment horizontal="center" vertical="center"/>
    </xf>
    <xf numFmtId="0" fontId="2" fillId="10" borderId="88" xfId="0" applyFont="1" applyFill="1" applyBorder="1"/>
    <xf numFmtId="44" fontId="2" fillId="7" borderId="31" xfId="0" applyNumberFormat="1" applyFont="1" applyFill="1" applyBorder="1"/>
    <xf numFmtId="0" fontId="0" fillId="10" borderId="30" xfId="0" applyFill="1" applyBorder="1" applyAlignment="1">
      <alignment horizontal="center"/>
    </xf>
    <xf numFmtId="0" fontId="38" fillId="0" borderId="0" xfId="0" applyFont="1" applyAlignment="1">
      <alignment horizontal="center" vertical="center" wrapText="1"/>
    </xf>
    <xf numFmtId="0" fontId="38" fillId="0" borderId="0" xfId="0" applyFont="1"/>
    <xf numFmtId="0" fontId="38" fillId="0" borderId="0" xfId="0" applyFont="1" applyAlignment="1">
      <alignment wrapText="1"/>
    </xf>
    <xf numFmtId="0" fontId="30" fillId="0" borderId="0" xfId="0" applyFont="1" applyAlignment="1">
      <alignment wrapText="1"/>
    </xf>
    <xf numFmtId="0" fontId="38" fillId="0" borderId="13" xfId="0" applyFont="1" applyBorder="1" applyAlignment="1">
      <alignment horizontal="center" vertical="center" wrapText="1"/>
    </xf>
    <xf numFmtId="0" fontId="38" fillId="0" borderId="0" xfId="0" applyFont="1" applyAlignment="1">
      <alignment vertical="top" wrapText="1"/>
    </xf>
    <xf numFmtId="0" fontId="38" fillId="0" borderId="1" xfId="0" applyFont="1" applyBorder="1" applyAlignment="1">
      <alignment horizontal="center" vertical="center" wrapText="1"/>
    </xf>
    <xf numFmtId="0" fontId="36" fillId="0" borderId="1" xfId="11" applyFont="1" applyBorder="1" applyAlignment="1">
      <alignment horizontal="center" vertical="center" wrapText="1"/>
    </xf>
    <xf numFmtId="0" fontId="38" fillId="0" borderId="20" xfId="0" applyFont="1" applyBorder="1" applyAlignment="1">
      <alignment horizontal="center" vertical="center" wrapText="1"/>
    </xf>
    <xf numFmtId="0" fontId="39" fillId="0" borderId="12" xfId="0" applyFont="1" applyBorder="1" applyAlignment="1">
      <alignment horizontal="center" vertical="center" wrapText="1"/>
    </xf>
    <xf numFmtId="0" fontId="39" fillId="0" borderId="19" xfId="0" applyFont="1" applyBorder="1" applyAlignment="1">
      <alignment horizontal="center" vertical="center" wrapText="1"/>
    </xf>
    <xf numFmtId="0" fontId="21" fillId="0" borderId="0" xfId="0" applyFont="1" applyBorder="1" applyAlignment="1">
      <alignment horizontal="left" vertical="center"/>
    </xf>
    <xf numFmtId="0" fontId="25" fillId="0" borderId="0" xfId="0" applyFont="1" applyAlignment="1"/>
    <xf numFmtId="0" fontId="28" fillId="0" borderId="19" xfId="0" applyFont="1" applyBorder="1" applyAlignment="1">
      <alignment horizontal="center" vertical="center" wrapText="1"/>
    </xf>
    <xf numFmtId="0" fontId="28" fillId="0" borderId="0" xfId="0" applyFont="1" applyBorder="1" applyAlignment="1">
      <alignment horizontal="justify" vertical="center" wrapText="1"/>
    </xf>
    <xf numFmtId="0" fontId="28" fillId="0" borderId="0" xfId="0" applyFont="1" applyBorder="1" applyAlignment="1">
      <alignment horizontal="center" vertical="center" wrapText="1"/>
    </xf>
    <xf numFmtId="0" fontId="28" fillId="0" borderId="15" xfId="0" applyFont="1" applyBorder="1" applyAlignment="1">
      <alignment horizontal="center" vertical="center" wrapText="1"/>
    </xf>
    <xf numFmtId="0" fontId="28" fillId="0" borderId="4" xfId="0" applyFont="1" applyBorder="1" applyAlignment="1">
      <alignment horizontal="left" vertical="center" wrapText="1"/>
    </xf>
    <xf numFmtId="0" fontId="28" fillId="0" borderId="4" xfId="0" applyFont="1" applyBorder="1" applyAlignment="1">
      <alignment horizontal="center" vertical="center" wrapText="1"/>
    </xf>
    <xf numFmtId="3" fontId="28" fillId="0" borderId="4" xfId="0" applyNumberFormat="1" applyFont="1" applyBorder="1" applyAlignment="1">
      <alignment horizontal="center" vertical="center" wrapText="1"/>
    </xf>
    <xf numFmtId="44" fontId="28" fillId="0" borderId="4" xfId="2" applyFont="1" applyBorder="1" applyAlignment="1">
      <alignment horizontal="left" vertical="center" wrapText="1"/>
    </xf>
    <xf numFmtId="44" fontId="28" fillId="0" borderId="17" xfId="0" applyNumberFormat="1" applyFont="1" applyBorder="1" applyAlignment="1">
      <alignment horizontal="left" vertical="center" wrapText="1"/>
    </xf>
    <xf numFmtId="0" fontId="28" fillId="0" borderId="1" xfId="0" applyFont="1" applyBorder="1" applyAlignment="1">
      <alignment horizontal="left" vertical="center" wrapText="1"/>
    </xf>
    <xf numFmtId="44" fontId="28" fillId="0" borderId="1" xfId="2" applyFont="1" applyBorder="1" applyAlignment="1">
      <alignment horizontal="right" vertical="center" wrapText="1"/>
    </xf>
    <xf numFmtId="44" fontId="28" fillId="0" borderId="1" xfId="2" applyFont="1" applyBorder="1" applyAlignment="1">
      <alignment horizontal="center" vertical="center" wrapText="1"/>
    </xf>
    <xf numFmtId="0" fontId="28" fillId="0" borderId="91" xfId="0" applyFont="1" applyBorder="1" applyAlignment="1">
      <alignment horizontal="center" vertical="center" wrapText="1"/>
    </xf>
    <xf numFmtId="0" fontId="28" fillId="0" borderId="94" xfId="0" applyFont="1" applyBorder="1" applyAlignment="1">
      <alignment horizontal="center" vertical="center" wrapText="1"/>
    </xf>
    <xf numFmtId="0" fontId="28" fillId="0" borderId="95" xfId="0" applyFont="1" applyBorder="1" applyAlignment="1">
      <alignment horizontal="justify" vertical="center" wrapText="1"/>
    </xf>
    <xf numFmtId="0" fontId="28" fillId="0" borderId="95" xfId="0" applyFont="1" applyBorder="1" applyAlignment="1">
      <alignment horizontal="center" vertical="center" wrapText="1"/>
    </xf>
    <xf numFmtId="0" fontId="25" fillId="0" borderId="0" xfId="0" applyFont="1" applyProtection="1">
      <protection locked="0"/>
    </xf>
    <xf numFmtId="0" fontId="22" fillId="0" borderId="0" xfId="0" applyFont="1" applyProtection="1">
      <protection locked="0"/>
    </xf>
    <xf numFmtId="0" fontId="43" fillId="5" borderId="1" xfId="0" applyFont="1" applyFill="1" applyBorder="1" applyAlignment="1" applyProtection="1">
      <alignment horizontal="center" vertical="center"/>
      <protection locked="0"/>
    </xf>
    <xf numFmtId="0" fontId="43" fillId="5" borderId="1" xfId="0" applyFont="1" applyFill="1" applyBorder="1" applyAlignment="1" applyProtection="1">
      <alignment horizontal="center" vertical="center" wrapText="1"/>
      <protection locked="0"/>
    </xf>
    <xf numFmtId="0" fontId="4" fillId="7" borderId="1" xfId="0" applyFont="1" applyFill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" fillId="0" borderId="1" xfId="0" applyFont="1" applyBorder="1" applyAlignment="1" applyProtection="1">
      <alignment horizontal="center" vertical="center" wrapText="1"/>
      <protection locked="0"/>
    </xf>
    <xf numFmtId="0" fontId="12" fillId="0" borderId="1" xfId="0" applyFont="1" applyBorder="1" applyAlignment="1" applyProtection="1">
      <alignment vertical="center" wrapText="1"/>
      <protection locked="0"/>
    </xf>
    <xf numFmtId="0" fontId="4" fillId="0" borderId="1" xfId="0" applyFont="1" applyBorder="1" applyAlignment="1" applyProtection="1">
      <alignment vertical="center"/>
      <protection locked="0"/>
    </xf>
    <xf numFmtId="0" fontId="42" fillId="0" borderId="1" xfId="0" applyFont="1" applyBorder="1" applyAlignment="1">
      <alignment horizontal="center" vertical="center"/>
    </xf>
    <xf numFmtId="0" fontId="4" fillId="0" borderId="1" xfId="0" applyFont="1" applyBorder="1" applyAlignment="1" applyProtection="1">
      <alignment vertical="center" wrapText="1"/>
      <protection locked="0"/>
    </xf>
    <xf numFmtId="9" fontId="44" fillId="5" borderId="1" xfId="8" applyFont="1" applyFill="1" applyBorder="1" applyAlignment="1" applyProtection="1">
      <alignment horizontal="center" vertical="center"/>
      <protection locked="0"/>
    </xf>
    <xf numFmtId="4" fontId="42" fillId="6" borderId="1" xfId="1" applyNumberFormat="1" applyFont="1" applyFill="1" applyBorder="1" applyAlignment="1" applyProtection="1">
      <alignment horizontal="center" vertical="center"/>
      <protection locked="0"/>
    </xf>
    <xf numFmtId="1" fontId="42" fillId="5" borderId="1" xfId="0" applyNumberFormat="1" applyFont="1" applyFill="1" applyBorder="1" applyAlignment="1" applyProtection="1">
      <alignment horizontal="center" vertical="center"/>
      <protection locked="0"/>
    </xf>
    <xf numFmtId="44" fontId="0" fillId="10" borderId="0" xfId="0" applyNumberFormat="1" applyFill="1"/>
    <xf numFmtId="9" fontId="0" fillId="10" borderId="0" xfId="8" applyFont="1" applyFill="1"/>
    <xf numFmtId="10" fontId="0" fillId="2" borderId="4" xfId="0" applyNumberFormat="1" applyFill="1" applyBorder="1" applyAlignment="1">
      <alignment horizontal="center"/>
    </xf>
    <xf numFmtId="0" fontId="0" fillId="10" borderId="4" xfId="0" applyFill="1" applyBorder="1" applyAlignment="1">
      <alignment horizontal="center" vertical="center"/>
    </xf>
    <xf numFmtId="164" fontId="0" fillId="16" borderId="87" xfId="0" applyNumberFormat="1" applyFill="1" applyBorder="1"/>
    <xf numFmtId="2" fontId="0" fillId="10" borderId="1" xfId="0" applyNumberFormat="1" applyFill="1" applyBorder="1" applyAlignment="1">
      <alignment horizontal="center" vertical="center"/>
    </xf>
    <xf numFmtId="167" fontId="0" fillId="10" borderId="1" xfId="0" applyNumberFormat="1" applyFill="1" applyBorder="1" applyAlignment="1">
      <alignment horizontal="center" vertical="center"/>
    </xf>
    <xf numFmtId="167" fontId="0" fillId="10" borderId="1" xfId="0" applyNumberFormat="1" applyFill="1" applyBorder="1" applyAlignment="1">
      <alignment horizontal="center"/>
    </xf>
    <xf numFmtId="0" fontId="45" fillId="0" borderId="0" xfId="3" applyFont="1"/>
    <xf numFmtId="0" fontId="45" fillId="0" borderId="0" xfId="3" applyFont="1" applyAlignment="1">
      <alignment horizontal="right"/>
    </xf>
    <xf numFmtId="0" fontId="38" fillId="0" borderId="0" xfId="0" applyFont="1" applyAlignment="1">
      <alignment horizontal="center" vertical="center" wrapText="1"/>
    </xf>
    <xf numFmtId="0" fontId="38" fillId="0" borderId="0" xfId="0" applyFont="1" applyBorder="1" applyAlignment="1">
      <alignment horizontal="left" vertical="top" wrapText="1"/>
    </xf>
    <xf numFmtId="0" fontId="30" fillId="5" borderId="84" xfId="0" applyFont="1" applyFill="1" applyBorder="1" applyAlignment="1">
      <alignment horizontal="center" vertical="center" wrapText="1"/>
    </xf>
    <xf numFmtId="0" fontId="30" fillId="5" borderId="85" xfId="0" applyFont="1" applyFill="1" applyBorder="1" applyAlignment="1">
      <alignment horizontal="center" vertical="center" wrapText="1"/>
    </xf>
    <xf numFmtId="0" fontId="30" fillId="5" borderId="99" xfId="0" applyFont="1" applyFill="1" applyBorder="1" applyAlignment="1">
      <alignment horizontal="center" vertical="center" wrapText="1"/>
    </xf>
    <xf numFmtId="0" fontId="39" fillId="5" borderId="100" xfId="0" applyFont="1" applyFill="1" applyBorder="1" applyAlignment="1">
      <alignment horizontal="center" vertical="center" wrapText="1"/>
    </xf>
    <xf numFmtId="0" fontId="36" fillId="0" borderId="1" xfId="11" applyBorder="1" applyAlignment="1">
      <alignment horizontal="center" vertical="center" wrapText="1"/>
    </xf>
    <xf numFmtId="0" fontId="2" fillId="10" borderId="10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44" fontId="2" fillId="10" borderId="11" xfId="0" applyNumberFormat="1" applyFont="1" applyFill="1" applyBorder="1" applyAlignment="1">
      <alignment horizontal="center" vertical="top"/>
    </xf>
    <xf numFmtId="0" fontId="2" fillId="10" borderId="12" xfId="0" applyFont="1" applyFill="1" applyBorder="1" applyAlignment="1">
      <alignment horizontal="center" vertical="center"/>
    </xf>
    <xf numFmtId="0" fontId="8" fillId="10" borderId="1" xfId="5" applyFont="1" applyFill="1" applyBorder="1" applyAlignment="1">
      <alignment horizontal="center" vertical="center"/>
    </xf>
    <xf numFmtId="0" fontId="35" fillId="10" borderId="12" xfId="0" applyFont="1" applyFill="1" applyBorder="1" applyAlignment="1">
      <alignment horizontal="center" vertical="center"/>
    </xf>
    <xf numFmtId="0" fontId="35" fillId="10" borderId="19" xfId="0" applyFont="1" applyFill="1" applyBorder="1" applyAlignment="1">
      <alignment horizontal="center" vertical="center"/>
    </xf>
    <xf numFmtId="0" fontId="24" fillId="13" borderId="1" xfId="3" applyFont="1" applyFill="1" applyBorder="1" applyAlignment="1">
      <alignment horizontal="center" vertical="center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34" fillId="10" borderId="0" xfId="0" applyFont="1" applyFill="1" applyBorder="1" applyAlignment="1">
      <alignment horizontal="center" vertical="center"/>
    </xf>
    <xf numFmtId="164" fontId="34" fillId="10" borderId="0" xfId="0" applyNumberFormat="1" applyFont="1" applyFill="1" applyBorder="1"/>
    <xf numFmtId="0" fontId="25" fillId="0" borderId="1" xfId="0" applyFont="1" applyBorder="1" applyAlignment="1" applyProtection="1">
      <alignment horizontal="center" vertical="center"/>
      <protection locked="0"/>
    </xf>
    <xf numFmtId="0" fontId="0" fillId="10" borderId="102" xfId="0" applyFill="1" applyBorder="1" applyAlignment="1">
      <alignment horizontal="left" vertical="center"/>
    </xf>
    <xf numFmtId="0" fontId="0" fillId="10" borderId="70" xfId="0" applyFill="1" applyBorder="1" applyAlignment="1">
      <alignment horizontal="left" vertical="center"/>
    </xf>
    <xf numFmtId="0" fontId="0" fillId="10" borderId="72" xfId="0" applyFill="1" applyBorder="1" applyAlignment="1">
      <alignment horizontal="left" vertical="center"/>
    </xf>
    <xf numFmtId="164" fontId="0" fillId="16" borderId="4" xfId="1" applyNumberFormat="1" applyFont="1" applyFill="1" applyBorder="1"/>
    <xf numFmtId="1" fontId="0" fillId="10" borderId="1" xfId="0" applyNumberFormat="1" applyFill="1" applyBorder="1" applyAlignment="1">
      <alignment horizontal="center" vertical="center"/>
    </xf>
    <xf numFmtId="44" fontId="47" fillId="10" borderId="1" xfId="4" applyNumberFormat="1" applyFont="1" applyFill="1" applyBorder="1" applyAlignment="1">
      <alignment horizontal="left" vertical="center" wrapText="1"/>
    </xf>
    <xf numFmtId="0" fontId="24" fillId="8" borderId="6" xfId="3" applyFont="1" applyFill="1" applyBorder="1" applyAlignment="1">
      <alignment horizontal="left" vertical="center"/>
    </xf>
    <xf numFmtId="0" fontId="24" fillId="8" borderId="7" xfId="3" applyFont="1" applyFill="1" applyBorder="1" applyAlignment="1">
      <alignment horizontal="left" vertical="center" wrapText="1"/>
    </xf>
    <xf numFmtId="169" fontId="26" fillId="10" borderId="7" xfId="5" applyNumberFormat="1" applyFont="1" applyFill="1" applyBorder="1" applyAlignment="1">
      <alignment horizontal="center" vertical="center"/>
    </xf>
    <xf numFmtId="0" fontId="24" fillId="8" borderId="0" xfId="3" applyFont="1" applyFill="1" applyBorder="1" applyAlignment="1">
      <alignment horizontal="left" vertical="center"/>
    </xf>
    <xf numFmtId="0" fontId="25" fillId="0" borderId="0" xfId="0" applyFont="1" applyBorder="1" applyAlignment="1">
      <alignment vertical="center"/>
    </xf>
    <xf numFmtId="0" fontId="24" fillId="8" borderId="0" xfId="3" applyFont="1" applyFill="1" applyBorder="1" applyAlignment="1">
      <alignment horizontal="left" vertical="center" wrapText="1"/>
    </xf>
    <xf numFmtId="169" fontId="26" fillId="10" borderId="0" xfId="5" applyNumberFormat="1" applyFont="1" applyFill="1" applyBorder="1" applyAlignment="1">
      <alignment horizontal="center" vertical="center"/>
    </xf>
    <xf numFmtId="0" fontId="45" fillId="0" borderId="0" xfId="3" applyFont="1" applyBorder="1"/>
    <xf numFmtId="0" fontId="45" fillId="0" borderId="0" xfId="3" applyFont="1" applyBorder="1" applyAlignment="1">
      <alignment horizontal="right"/>
    </xf>
    <xf numFmtId="0" fontId="24" fillId="0" borderId="0" xfId="3" applyFont="1" applyBorder="1" applyAlignment="1">
      <alignment horizontal="center"/>
    </xf>
    <xf numFmtId="0" fontId="25" fillId="0" borderId="7" xfId="0" applyFont="1" applyBorder="1" applyAlignment="1">
      <alignment vertical="center"/>
    </xf>
    <xf numFmtId="0" fontId="45" fillId="0" borderId="7" xfId="3" applyFont="1" applyBorder="1"/>
    <xf numFmtId="0" fontId="45" fillId="0" borderId="7" xfId="3" applyFont="1" applyBorder="1" applyAlignment="1">
      <alignment horizontal="right"/>
    </xf>
    <xf numFmtId="0" fontId="24" fillId="0" borderId="7" xfId="3" applyFont="1" applyBorder="1" applyAlignment="1">
      <alignment horizontal="center"/>
    </xf>
    <xf numFmtId="0" fontId="24" fillId="0" borderId="8" xfId="3" applyFont="1" applyBorder="1" applyAlignment="1">
      <alignment horizontal="center"/>
    </xf>
    <xf numFmtId="0" fontId="24" fillId="9" borderId="107" xfId="3" applyFont="1" applyFill="1" applyBorder="1" applyAlignment="1">
      <alignment horizontal="center" vertical="center" wrapText="1"/>
    </xf>
    <xf numFmtId="0" fontId="24" fillId="9" borderId="96" xfId="3" applyFont="1" applyFill="1" applyBorder="1" applyAlignment="1">
      <alignment horizontal="center" vertical="center" wrapText="1"/>
    </xf>
    <xf numFmtId="44" fontId="24" fillId="19" borderId="1" xfId="3" applyNumberFormat="1" applyFont="1" applyFill="1" applyBorder="1" applyAlignment="1">
      <alignment horizontal="left" vertical="center" wrapText="1"/>
    </xf>
    <xf numFmtId="0" fontId="25" fillId="0" borderId="60" xfId="0" applyFont="1" applyBorder="1" applyAlignment="1">
      <alignment vertical="center" wrapText="1"/>
    </xf>
    <xf numFmtId="44" fontId="50" fillId="0" borderId="1" xfId="0" applyNumberFormat="1" applyFont="1" applyBorder="1" applyAlignment="1">
      <alignment horizontal="left" vertical="center" wrapText="1"/>
    </xf>
    <xf numFmtId="44" fontId="50" fillId="0" borderId="4" xfId="0" applyNumberFormat="1" applyFont="1" applyBorder="1" applyAlignment="1">
      <alignment horizontal="left" vertical="center" wrapText="1"/>
    </xf>
    <xf numFmtId="0" fontId="50" fillId="0" borderId="1" xfId="0" applyFont="1" applyBorder="1" applyAlignment="1">
      <alignment horizontal="center" vertical="center"/>
    </xf>
    <xf numFmtId="9" fontId="50" fillId="0" borderId="1" xfId="1" applyNumberFormat="1" applyFont="1" applyBorder="1" applyAlignment="1">
      <alignment horizontal="center" vertical="center"/>
    </xf>
    <xf numFmtId="9" fontId="24" fillId="0" borderId="1" xfId="0" applyNumberFormat="1" applyFont="1" applyBorder="1" applyAlignment="1">
      <alignment horizontal="center" vertical="center"/>
    </xf>
    <xf numFmtId="9" fontId="47" fillId="14" borderId="1" xfId="4" applyNumberFormat="1" applyFont="1" applyFill="1" applyBorder="1" applyAlignment="1">
      <alignment horizontal="center" vertical="center"/>
    </xf>
    <xf numFmtId="9" fontId="47" fillId="14" borderId="1" xfId="3" applyNumberFormat="1" applyFont="1" applyFill="1" applyBorder="1" applyAlignment="1">
      <alignment horizontal="center" vertical="center"/>
    </xf>
    <xf numFmtId="0" fontId="25" fillId="10" borderId="0" xfId="0" applyFont="1" applyFill="1" applyAlignment="1">
      <alignment vertical="center"/>
    </xf>
    <xf numFmtId="0" fontId="50" fillId="10" borderId="0" xfId="0" applyFont="1" applyFill="1" applyAlignment="1">
      <alignment horizontal="center" vertical="center"/>
    </xf>
    <xf numFmtId="0" fontId="50" fillId="17" borderId="1" xfId="0" applyFont="1" applyFill="1" applyBorder="1" applyAlignment="1">
      <alignment horizontal="center" vertical="center"/>
    </xf>
    <xf numFmtId="0" fontId="50" fillId="17" borderId="1" xfId="0" applyFont="1" applyFill="1" applyBorder="1" applyAlignment="1">
      <alignment horizontal="center" vertical="center" wrapText="1"/>
    </xf>
    <xf numFmtId="0" fontId="50" fillId="10" borderId="1" xfId="0" applyFont="1" applyFill="1" applyBorder="1" applyAlignment="1">
      <alignment horizontal="center" vertical="center"/>
    </xf>
    <xf numFmtId="0" fontId="25" fillId="10" borderId="1" xfId="0" applyFont="1" applyFill="1" applyBorder="1" applyAlignment="1">
      <alignment horizontal="center" vertical="center"/>
    </xf>
    <xf numFmtId="164" fontId="50" fillId="17" borderId="1" xfId="0" applyNumberFormat="1" applyFont="1" applyFill="1" applyBorder="1" applyAlignment="1">
      <alignment vertical="center"/>
    </xf>
    <xf numFmtId="0" fontId="45" fillId="10" borderId="1" xfId="3" applyFont="1" applyFill="1" applyBorder="1" applyAlignment="1">
      <alignment horizontal="center" vertical="center"/>
    </xf>
    <xf numFmtId="44" fontId="45" fillId="10" borderId="1" xfId="3" applyNumberFormat="1" applyFont="1" applyFill="1" applyBorder="1" applyAlignment="1">
      <alignment horizontal="center" vertical="center"/>
    </xf>
    <xf numFmtId="44" fontId="51" fillId="10" borderId="1" xfId="5" applyNumberFormat="1" applyFont="1" applyFill="1" applyBorder="1" applyAlignment="1">
      <alignment horizontal="center" vertical="center"/>
    </xf>
    <xf numFmtId="0" fontId="51" fillId="10" borderId="1" xfId="5" applyFont="1" applyFill="1" applyBorder="1" applyAlignment="1">
      <alignment horizontal="center" vertical="center"/>
    </xf>
    <xf numFmtId="170" fontId="51" fillId="10" borderId="1" xfId="5" applyNumberFormat="1" applyFont="1" applyFill="1" applyBorder="1" applyAlignment="1">
      <alignment horizontal="center" vertical="center"/>
    </xf>
    <xf numFmtId="0" fontId="45" fillId="10" borderId="1" xfId="5" applyFont="1" applyFill="1" applyBorder="1" applyAlignment="1">
      <alignment horizontal="center" vertical="center"/>
    </xf>
    <xf numFmtId="0" fontId="24" fillId="9" borderId="82" xfId="3" applyFont="1" applyFill="1" applyBorder="1" applyAlignment="1">
      <alignment horizontal="center" vertical="center" wrapText="1"/>
    </xf>
    <xf numFmtId="0" fontId="47" fillId="8" borderId="74" xfId="3" applyFont="1" applyFill="1" applyBorder="1" applyAlignment="1">
      <alignment horizontal="center" vertical="center"/>
    </xf>
    <xf numFmtId="0" fontId="48" fillId="10" borderId="74" xfId="0" applyFont="1" applyFill="1" applyBorder="1" applyAlignment="1">
      <alignment horizontal="left" vertical="center"/>
    </xf>
    <xf numFmtId="0" fontId="24" fillId="9" borderId="106" xfId="3" applyFont="1" applyFill="1" applyBorder="1" applyAlignment="1">
      <alignment horizontal="center" vertical="center" wrapText="1"/>
    </xf>
    <xf numFmtId="0" fontId="24" fillId="9" borderId="98" xfId="3" applyFont="1" applyFill="1" applyBorder="1" applyAlignment="1">
      <alignment horizontal="center" vertical="center" wrapText="1"/>
    </xf>
    <xf numFmtId="0" fontId="25" fillId="10" borderId="69" xfId="0" applyFont="1" applyFill="1" applyBorder="1" applyAlignment="1">
      <alignment vertical="center"/>
    </xf>
    <xf numFmtId="0" fontId="50" fillId="10" borderId="3" xfId="0" applyFont="1" applyFill="1" applyBorder="1" applyAlignment="1">
      <alignment horizontal="center" vertical="center"/>
    </xf>
    <xf numFmtId="0" fontId="50" fillId="0" borderId="39" xfId="0" applyFont="1" applyBorder="1" applyAlignment="1">
      <alignment horizontal="center" vertical="center" wrapText="1"/>
    </xf>
    <xf numFmtId="0" fontId="50" fillId="0" borderId="63" xfId="0" applyFont="1" applyBorder="1" applyAlignment="1">
      <alignment horizontal="center" vertical="center" wrapText="1"/>
    </xf>
    <xf numFmtId="0" fontId="45" fillId="0" borderId="1" xfId="3" applyFont="1" applyBorder="1" applyAlignment="1">
      <alignment horizontal="center" vertical="center"/>
    </xf>
    <xf numFmtId="0" fontId="25" fillId="0" borderId="1" xfId="0" applyFont="1" applyBorder="1" applyAlignment="1">
      <alignment vertical="center"/>
    </xf>
    <xf numFmtId="0" fontId="25" fillId="0" borderId="1" xfId="0" applyFont="1" applyBorder="1" applyAlignment="1">
      <alignment vertical="center" wrapText="1"/>
    </xf>
    <xf numFmtId="0" fontId="39" fillId="0" borderId="15" xfId="0" applyFont="1" applyBorder="1" applyAlignment="1">
      <alignment horizontal="center" vertical="center" wrapText="1"/>
    </xf>
    <xf numFmtId="0" fontId="38" fillId="0" borderId="4" xfId="0" applyFont="1" applyBorder="1" applyAlignment="1">
      <alignment horizontal="center" vertical="center" wrapText="1"/>
    </xf>
    <xf numFmtId="0" fontId="36" fillId="0" borderId="4" xfId="11" applyFont="1" applyBorder="1" applyAlignment="1">
      <alignment horizontal="center" vertical="center" wrapText="1"/>
    </xf>
    <xf numFmtId="0" fontId="36" fillId="0" borderId="4" xfId="11" applyBorder="1" applyAlignment="1">
      <alignment horizontal="center" vertical="center" wrapText="1"/>
    </xf>
    <xf numFmtId="0" fontId="38" fillId="0" borderId="25" xfId="0" applyFont="1" applyBorder="1" applyAlignment="1">
      <alignment horizontal="center" vertical="center" wrapText="1"/>
    </xf>
    <xf numFmtId="0" fontId="36" fillId="0" borderId="20" xfId="11" applyFont="1" applyBorder="1" applyAlignment="1">
      <alignment horizontal="center" vertical="center" wrapText="1"/>
    </xf>
    <xf numFmtId="164" fontId="25" fillId="10" borderId="0" xfId="0" applyNumberFormat="1" applyFont="1" applyFill="1" applyAlignment="1">
      <alignment vertical="center"/>
    </xf>
    <xf numFmtId="0" fontId="8" fillId="10" borderId="1" xfId="5" applyFont="1" applyFill="1" applyBorder="1" applyAlignment="1">
      <alignment horizontal="center" vertical="center"/>
    </xf>
    <xf numFmtId="0" fontId="14" fillId="0" borderId="34" xfId="0" applyFont="1" applyBorder="1" applyAlignment="1">
      <alignment horizontal="center" vertical="center" wrapText="1"/>
    </xf>
    <xf numFmtId="0" fontId="14" fillId="0" borderId="34" xfId="0" applyFont="1" applyBorder="1" applyAlignment="1">
      <alignment vertical="center" wrapText="1"/>
    </xf>
    <xf numFmtId="4" fontId="14" fillId="0" borderId="34" xfId="0" applyNumberFormat="1" applyFont="1" applyBorder="1" applyAlignment="1">
      <alignment horizontal="right" vertical="center" wrapText="1"/>
    </xf>
    <xf numFmtId="10" fontId="14" fillId="0" borderId="34" xfId="0" applyNumberFormat="1" applyFont="1" applyBorder="1" applyAlignment="1">
      <alignment horizontal="center" vertical="center" wrapText="1"/>
    </xf>
    <xf numFmtId="10" fontId="14" fillId="0" borderId="34" xfId="0" applyNumberFormat="1" applyFont="1" applyBorder="1" applyAlignment="1">
      <alignment horizontal="justify" vertical="center" wrapText="1"/>
    </xf>
    <xf numFmtId="0" fontId="14" fillId="0" borderId="34" xfId="0" applyFont="1" applyBorder="1" applyAlignment="1">
      <alignment horizontal="justify" vertical="center" wrapText="1"/>
    </xf>
    <xf numFmtId="10" fontId="14" fillId="0" borderId="34" xfId="0" applyNumberFormat="1" applyFont="1" applyBorder="1" applyAlignment="1">
      <alignment vertical="center" wrapText="1"/>
    </xf>
    <xf numFmtId="0" fontId="14" fillId="0" borderId="34" xfId="0" applyFont="1" applyBorder="1" applyAlignment="1">
      <alignment horizontal="right" vertical="center" wrapText="1"/>
    </xf>
    <xf numFmtId="4" fontId="14" fillId="0" borderId="33" xfId="0" applyNumberFormat="1" applyFont="1" applyBorder="1" applyAlignment="1">
      <alignment horizontal="right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2" xfId="0" applyFont="1" applyBorder="1" applyAlignment="1">
      <alignment vertical="center" wrapText="1"/>
    </xf>
    <xf numFmtId="4" fontId="14" fillId="0" borderId="52" xfId="0" applyNumberFormat="1" applyFont="1" applyBorder="1" applyAlignment="1">
      <alignment horizontal="right" vertical="center" wrapText="1"/>
    </xf>
    <xf numFmtId="10" fontId="14" fillId="0" borderId="52" xfId="0" applyNumberFormat="1" applyFont="1" applyBorder="1" applyAlignment="1">
      <alignment horizontal="center" vertical="center" wrapText="1"/>
    </xf>
    <xf numFmtId="10" fontId="14" fillId="0" borderId="52" xfId="0" applyNumberFormat="1" applyFont="1" applyBorder="1" applyAlignment="1">
      <alignment horizontal="justify" vertical="center" wrapText="1"/>
    </xf>
    <xf numFmtId="0" fontId="14" fillId="0" borderId="52" xfId="0" applyFont="1" applyBorder="1" applyAlignment="1">
      <alignment horizontal="justify" vertical="center" wrapText="1"/>
    </xf>
    <xf numFmtId="10" fontId="14" fillId="0" borderId="52" xfId="0" applyNumberFormat="1" applyFont="1" applyBorder="1" applyAlignment="1">
      <alignment vertical="center" wrapText="1"/>
    </xf>
    <xf numFmtId="0" fontId="14" fillId="0" borderId="52" xfId="0" applyFont="1" applyBorder="1" applyAlignment="1">
      <alignment horizontal="right" vertical="center" wrapText="1"/>
    </xf>
    <xf numFmtId="4" fontId="14" fillId="0" borderId="37" xfId="0" applyNumberFormat="1" applyFont="1" applyBorder="1" applyAlignment="1">
      <alignment horizontal="right" vertical="center" wrapText="1"/>
    </xf>
    <xf numFmtId="4" fontId="14" fillId="0" borderId="52" xfId="0" applyNumberFormat="1" applyFont="1" applyBorder="1" applyAlignment="1">
      <alignment horizontal="justify" vertical="center" wrapText="1"/>
    </xf>
    <xf numFmtId="4" fontId="14" fillId="0" borderId="52" xfId="0" applyNumberFormat="1" applyFont="1" applyBorder="1" applyAlignment="1">
      <alignment vertical="center" wrapText="1"/>
    </xf>
    <xf numFmtId="4" fontId="14" fillId="0" borderId="34" xfId="0" applyNumberFormat="1" applyFont="1" applyBorder="1" applyAlignment="1">
      <alignment horizontal="justify" vertical="center" wrapText="1"/>
    </xf>
    <xf numFmtId="0" fontId="29" fillId="0" borderId="0" xfId="0" applyFont="1"/>
    <xf numFmtId="0" fontId="38" fillId="0" borderId="17" xfId="0" applyFont="1" applyBorder="1" applyAlignment="1">
      <alignment horizontal="center" vertical="center" wrapText="1"/>
    </xf>
    <xf numFmtId="0" fontId="48" fillId="10" borderId="74" xfId="0" applyFont="1" applyFill="1" applyBorder="1" applyAlignment="1">
      <alignment horizontal="left" vertical="center" wrapText="1"/>
    </xf>
    <xf numFmtId="0" fontId="45" fillId="10" borderId="1" xfId="3" applyFont="1" applyFill="1" applyBorder="1" applyAlignment="1">
      <alignment vertical="center" wrapText="1"/>
    </xf>
    <xf numFmtId="0" fontId="25" fillId="10" borderId="1" xfId="0" applyFont="1" applyFill="1" applyBorder="1" applyAlignment="1">
      <alignment vertical="center" wrapText="1"/>
    </xf>
    <xf numFmtId="0" fontId="51" fillId="10" borderId="1" xfId="5" applyFont="1" applyFill="1" applyBorder="1" applyAlignment="1">
      <alignment vertical="center" wrapText="1"/>
    </xf>
    <xf numFmtId="0" fontId="45" fillId="10" borderId="1" xfId="5" applyFont="1" applyFill="1" applyBorder="1" applyAlignment="1">
      <alignment vertical="center" wrapText="1"/>
    </xf>
    <xf numFmtId="0" fontId="51" fillId="10" borderId="1" xfId="5" applyFont="1" applyFill="1" applyBorder="1" applyAlignment="1">
      <alignment horizontal="left" vertical="center" wrapText="1"/>
    </xf>
    <xf numFmtId="0" fontId="45" fillId="10" borderId="1" xfId="5" applyFont="1" applyFill="1" applyBorder="1" applyAlignment="1">
      <alignment horizontal="left" vertical="center" wrapText="1"/>
    </xf>
    <xf numFmtId="0" fontId="25" fillId="10" borderId="0" xfId="0" applyFont="1" applyFill="1" applyAlignment="1">
      <alignment vertical="center" wrapText="1"/>
    </xf>
    <xf numFmtId="0" fontId="2" fillId="10" borderId="12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8" fillId="10" borderId="1" xfId="5" applyFont="1" applyFill="1" applyBorder="1" applyAlignment="1">
      <alignment horizontal="center" vertical="center"/>
    </xf>
    <xf numFmtId="44" fontId="2" fillId="10" borderId="11" xfId="0" applyNumberFormat="1" applyFont="1" applyFill="1" applyBorder="1" applyAlignment="1">
      <alignment horizontal="center" vertical="top"/>
    </xf>
    <xf numFmtId="164" fontId="2" fillId="16" borderId="25" xfId="0" applyNumberFormat="1" applyFont="1" applyFill="1" applyBorder="1"/>
    <xf numFmtId="0" fontId="2" fillId="10" borderId="110" xfId="0" applyFont="1" applyFill="1" applyBorder="1" applyAlignment="1">
      <alignment horizontal="center" vertical="center"/>
    </xf>
    <xf numFmtId="0" fontId="27" fillId="10" borderId="5" xfId="5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center" wrapText="1"/>
    </xf>
    <xf numFmtId="0" fontId="2" fillId="10" borderId="5" xfId="0" applyFont="1" applyFill="1" applyBorder="1" applyAlignment="1">
      <alignment horizontal="center" vertical="top" wrapText="1"/>
    </xf>
    <xf numFmtId="0" fontId="2" fillId="10" borderId="111" xfId="0" applyFont="1" applyFill="1" applyBorder="1" applyAlignment="1">
      <alignment horizontal="center" vertical="center" wrapText="1"/>
    </xf>
    <xf numFmtId="0" fontId="31" fillId="10" borderId="0" xfId="0" applyFont="1" applyFill="1" applyBorder="1" applyAlignment="1">
      <alignment wrapText="1"/>
    </xf>
    <xf numFmtId="2" fontId="0" fillId="10" borderId="1" xfId="0" applyNumberFormat="1" applyFill="1" applyBorder="1" applyAlignment="1">
      <alignment horizontal="center"/>
    </xf>
    <xf numFmtId="0" fontId="12" fillId="7" borderId="1" xfId="0" applyFont="1" applyFill="1" applyBorder="1" applyAlignment="1" applyProtection="1">
      <alignment vertical="center" wrapText="1"/>
      <protection locked="0"/>
    </xf>
    <xf numFmtId="0" fontId="43" fillId="7" borderId="1" xfId="0" applyFont="1" applyFill="1" applyBorder="1" applyAlignment="1">
      <alignment horizontal="center" vertical="center"/>
    </xf>
    <xf numFmtId="0" fontId="12" fillId="7" borderId="1" xfId="0" applyFont="1" applyFill="1" applyBorder="1" applyAlignment="1" applyProtection="1">
      <alignment horizontal="center" vertical="center"/>
      <protection locked="0"/>
    </xf>
    <xf numFmtId="0" fontId="4" fillId="10" borderId="1" xfId="0" applyFont="1" applyFill="1" applyBorder="1" applyAlignment="1" applyProtection="1">
      <alignment vertical="center" wrapText="1"/>
      <protection locked="0"/>
    </xf>
    <xf numFmtId="0" fontId="12" fillId="10" borderId="1" xfId="0" applyFont="1" applyFill="1" applyBorder="1" applyAlignment="1" applyProtection="1">
      <alignment vertical="center" wrapText="1"/>
      <protection locked="0"/>
    </xf>
    <xf numFmtId="0" fontId="28" fillId="0" borderId="1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18" fillId="10" borderId="60" xfId="7" applyFont="1" applyFill="1" applyBorder="1" applyAlignment="1">
      <alignment horizontal="center" vertical="center" wrapText="1"/>
    </xf>
    <xf numFmtId="0" fontId="19" fillId="10" borderId="1" xfId="0" applyFont="1" applyFill="1" applyBorder="1" applyAlignment="1">
      <alignment horizontal="right" vertical="center" wrapText="1"/>
    </xf>
    <xf numFmtId="0" fontId="10" fillId="10" borderId="0" xfId="7" applyFill="1" applyAlignment="1">
      <alignment horizontal="left" vertical="top"/>
    </xf>
    <xf numFmtId="4" fontId="19" fillId="10" borderId="1" xfId="0" applyNumberFormat="1" applyFont="1" applyFill="1" applyBorder="1" applyAlignment="1">
      <alignment horizontal="right" vertical="center" wrapText="1"/>
    </xf>
    <xf numFmtId="0" fontId="12" fillId="10" borderId="40" xfId="7" applyFont="1" applyFill="1" applyBorder="1" applyAlignment="1">
      <alignment vertical="top"/>
    </xf>
    <xf numFmtId="0" fontId="18" fillId="10" borderId="38" xfId="7" applyFont="1" applyFill="1" applyBorder="1" applyAlignment="1">
      <alignment horizontal="center" vertical="center" wrapText="1"/>
    </xf>
    <xf numFmtId="0" fontId="18" fillId="10" borderId="40" xfId="7" applyFont="1" applyFill="1" applyBorder="1" applyAlignment="1">
      <alignment wrapText="1"/>
    </xf>
    <xf numFmtId="0" fontId="11" fillId="10" borderId="0" xfId="7" applyFont="1" applyFill="1" applyAlignment="1">
      <alignment vertical="top"/>
    </xf>
    <xf numFmtId="0" fontId="12" fillId="10" borderId="65" xfId="7" applyFont="1" applyFill="1" applyBorder="1" applyAlignment="1">
      <alignment vertical="top"/>
    </xf>
    <xf numFmtId="0" fontId="12" fillId="10" borderId="0" xfId="7" applyFont="1" applyFill="1" applyBorder="1" applyAlignment="1">
      <alignment vertical="top"/>
    </xf>
    <xf numFmtId="0" fontId="16" fillId="10" borderId="117" xfId="7" applyFont="1" applyFill="1" applyBorder="1" applyAlignment="1">
      <alignment horizontal="center" vertical="center" wrapText="1"/>
    </xf>
    <xf numFmtId="166" fontId="19" fillId="10" borderId="119" xfId="7" applyNumberFormat="1" applyFont="1" applyFill="1" applyBorder="1" applyAlignment="1">
      <alignment horizontal="center" vertical="center" wrapText="1"/>
    </xf>
    <xf numFmtId="166" fontId="19" fillId="10" borderId="120" xfId="7" applyNumberFormat="1" applyFont="1" applyFill="1" applyBorder="1" applyAlignment="1">
      <alignment horizontal="center" vertical="center" wrapText="1"/>
    </xf>
    <xf numFmtId="166" fontId="19" fillId="10" borderId="122" xfId="7" applyNumberFormat="1" applyFont="1" applyFill="1" applyBorder="1" applyAlignment="1">
      <alignment horizontal="center" vertical="center" wrapText="1"/>
    </xf>
    <xf numFmtId="166" fontId="20" fillId="10" borderId="117" xfId="7" applyNumberFormat="1" applyFont="1" applyFill="1" applyBorder="1" applyAlignment="1">
      <alignment horizontal="center" vertical="center" wrapText="1"/>
    </xf>
    <xf numFmtId="166" fontId="19" fillId="10" borderId="117" xfId="7" applyNumberFormat="1" applyFont="1" applyFill="1" applyBorder="1" applyAlignment="1">
      <alignment horizontal="center" vertical="center" wrapText="1"/>
    </xf>
    <xf numFmtId="166" fontId="19" fillId="10" borderId="81" xfId="7" applyNumberFormat="1" applyFont="1" applyFill="1" applyBorder="1" applyAlignment="1">
      <alignment horizontal="center" vertical="center" wrapText="1"/>
    </xf>
    <xf numFmtId="166" fontId="19" fillId="10" borderId="123" xfId="7" applyNumberFormat="1" applyFont="1" applyFill="1" applyBorder="1" applyAlignment="1">
      <alignment horizontal="center" vertical="center" wrapText="1"/>
    </xf>
    <xf numFmtId="166" fontId="20" fillId="10" borderId="124" xfId="7" applyNumberFormat="1" applyFont="1" applyFill="1" applyBorder="1" applyAlignment="1">
      <alignment horizontal="center" vertical="center" wrapText="1"/>
    </xf>
    <xf numFmtId="166" fontId="17" fillId="4" borderId="117" xfId="7" applyNumberFormat="1" applyFont="1" applyFill="1" applyBorder="1" applyAlignment="1">
      <alignment horizontal="center" vertical="center" wrapText="1"/>
    </xf>
    <xf numFmtId="0" fontId="50" fillId="10" borderId="4" xfId="0" applyFont="1" applyFill="1" applyBorder="1" applyAlignment="1">
      <alignment horizontal="center" vertical="center"/>
    </xf>
    <xf numFmtId="0" fontId="50" fillId="10" borderId="5" xfId="0" applyFont="1" applyFill="1" applyBorder="1" applyAlignment="1">
      <alignment horizontal="center" vertical="center"/>
    </xf>
    <xf numFmtId="0" fontId="50" fillId="10" borderId="1" xfId="0" applyFont="1" applyFill="1" applyBorder="1" applyAlignment="1">
      <alignment horizontal="left" vertical="center"/>
    </xf>
    <xf numFmtId="0" fontId="50" fillId="17" borderId="1" xfId="0" applyFont="1" applyFill="1" applyBorder="1" applyAlignment="1">
      <alignment horizontal="center" vertical="center"/>
    </xf>
    <xf numFmtId="0" fontId="50" fillId="15" borderId="1" xfId="0" applyFont="1" applyFill="1" applyBorder="1" applyAlignment="1">
      <alignment horizontal="center" vertical="center"/>
    </xf>
    <xf numFmtId="0" fontId="50" fillId="10" borderId="1" xfId="0" applyFont="1" applyFill="1" applyBorder="1" applyAlignment="1">
      <alignment horizontal="center" vertical="center"/>
    </xf>
    <xf numFmtId="0" fontId="24" fillId="9" borderId="105" xfId="3" applyFont="1" applyFill="1" applyBorder="1" applyAlignment="1">
      <alignment horizontal="left" vertical="center" wrapText="1"/>
    </xf>
    <xf numFmtId="0" fontId="24" fillId="9" borderId="108" xfId="3" applyFont="1" applyFill="1" applyBorder="1" applyAlignment="1">
      <alignment horizontal="left" vertical="center" wrapText="1"/>
    </xf>
    <xf numFmtId="0" fontId="25" fillId="10" borderId="7" xfId="0" applyFont="1" applyFill="1" applyBorder="1" applyAlignment="1">
      <alignment horizontal="left" vertical="center"/>
    </xf>
    <xf numFmtId="0" fontId="25" fillId="10" borderId="8" xfId="0" applyFont="1" applyFill="1" applyBorder="1" applyAlignment="1">
      <alignment horizontal="left" vertical="center"/>
    </xf>
    <xf numFmtId="0" fontId="24" fillId="8" borderId="6" xfId="3" applyFont="1" applyFill="1" applyBorder="1" applyAlignment="1">
      <alignment horizontal="center" vertical="center"/>
    </xf>
    <xf numFmtId="0" fontId="24" fillId="8" borderId="7" xfId="3" applyFont="1" applyFill="1" applyBorder="1" applyAlignment="1">
      <alignment horizontal="center" vertical="center"/>
    </xf>
    <xf numFmtId="0" fontId="24" fillId="8" borderId="9" xfId="3" applyFont="1" applyFill="1" applyBorder="1" applyAlignment="1">
      <alignment horizontal="center" vertical="center"/>
    </xf>
    <xf numFmtId="0" fontId="24" fillId="8" borderId="10" xfId="3" applyFont="1" applyFill="1" applyBorder="1" applyAlignment="1">
      <alignment horizontal="center" vertical="center"/>
    </xf>
    <xf numFmtId="0" fontId="24" fillId="8" borderId="15" xfId="3" applyFont="1" applyFill="1" applyBorder="1" applyAlignment="1">
      <alignment horizontal="center" vertical="center"/>
    </xf>
    <xf numFmtId="0" fontId="24" fillId="8" borderId="4" xfId="3" applyFont="1" applyFill="1" applyBorder="1" applyAlignment="1">
      <alignment horizontal="center" vertical="center"/>
    </xf>
    <xf numFmtId="0" fontId="50" fillId="10" borderId="68" xfId="0" applyFont="1" applyFill="1" applyBorder="1" applyAlignment="1">
      <alignment horizontal="center" vertical="center"/>
    </xf>
    <xf numFmtId="0" fontId="45" fillId="0" borderId="1" xfId="3" applyFont="1" applyBorder="1" applyAlignment="1">
      <alignment horizontal="center" vertical="center"/>
    </xf>
    <xf numFmtId="0" fontId="24" fillId="8" borderId="103" xfId="3" applyFont="1" applyFill="1" applyBorder="1" applyAlignment="1">
      <alignment horizontal="center" vertical="center"/>
    </xf>
    <xf numFmtId="0" fontId="24" fillId="8" borderId="104" xfId="3" applyFont="1" applyFill="1" applyBorder="1" applyAlignment="1">
      <alignment horizontal="center" vertical="center"/>
    </xf>
    <xf numFmtId="0" fontId="24" fillId="8" borderId="109" xfId="3" applyFont="1" applyFill="1" applyBorder="1" applyAlignment="1">
      <alignment horizontal="center" vertical="center"/>
    </xf>
    <xf numFmtId="0" fontId="24" fillId="8" borderId="94" xfId="3" applyFont="1" applyFill="1" applyBorder="1" applyAlignment="1">
      <alignment horizontal="center" vertical="center"/>
    </xf>
    <xf numFmtId="0" fontId="24" fillId="8" borderId="95" xfId="3" applyFont="1" applyFill="1" applyBorder="1" applyAlignment="1">
      <alignment horizontal="center" vertical="center"/>
    </xf>
    <xf numFmtId="0" fontId="24" fillId="8" borderId="97" xfId="3" applyFont="1" applyFill="1" applyBorder="1" applyAlignment="1">
      <alignment horizontal="center" vertical="center"/>
    </xf>
    <xf numFmtId="0" fontId="46" fillId="11" borderId="1" xfId="3" applyFont="1" applyFill="1" applyBorder="1" applyAlignment="1">
      <alignment horizontal="center" vertical="center"/>
    </xf>
    <xf numFmtId="43" fontId="24" fillId="12" borderId="1" xfId="4" applyFont="1" applyFill="1" applyBorder="1" applyAlignment="1">
      <alignment horizontal="center" vertical="center"/>
    </xf>
    <xf numFmtId="0" fontId="24" fillId="13" borderId="1" xfId="3" applyFont="1" applyFill="1" applyBorder="1" applyAlignment="1">
      <alignment horizontal="center" vertical="center"/>
    </xf>
    <xf numFmtId="0" fontId="50" fillId="12" borderId="1" xfId="0" applyFont="1" applyFill="1" applyBorder="1" applyAlignment="1">
      <alignment horizontal="center" vertical="center" wrapText="1" shrinkToFit="1"/>
    </xf>
    <xf numFmtId="0" fontId="50" fillId="12" borderId="1" xfId="0" applyFont="1" applyFill="1" applyBorder="1" applyAlignment="1">
      <alignment horizontal="center" vertical="center"/>
    </xf>
    <xf numFmtId="171" fontId="24" fillId="9" borderId="105" xfId="3" applyNumberFormat="1" applyFont="1" applyFill="1" applyBorder="1" applyAlignment="1">
      <alignment horizontal="center" vertical="center" wrapText="1"/>
    </xf>
    <xf numFmtId="171" fontId="24" fillId="9" borderId="106" xfId="3" applyNumberFormat="1" applyFont="1" applyFill="1" applyBorder="1" applyAlignment="1">
      <alignment horizontal="center" vertical="center" wrapText="1"/>
    </xf>
    <xf numFmtId="171" fontId="24" fillId="9" borderId="95" xfId="3" applyNumberFormat="1" applyFont="1" applyFill="1" applyBorder="1" applyAlignment="1">
      <alignment horizontal="center" vertical="center" wrapText="1"/>
    </xf>
    <xf numFmtId="171" fontId="24" fillId="9" borderId="98" xfId="3" applyNumberFormat="1" applyFont="1" applyFill="1" applyBorder="1" applyAlignment="1">
      <alignment horizontal="center" vertical="center" wrapText="1"/>
    </xf>
    <xf numFmtId="43" fontId="24" fillId="7" borderId="0" xfId="4" applyFont="1" applyFill="1" applyBorder="1" applyAlignment="1">
      <alignment horizontal="center" vertical="center" wrapText="1"/>
    </xf>
    <xf numFmtId="43" fontId="24" fillId="7" borderId="81" xfId="4" applyFont="1" applyFill="1" applyBorder="1" applyAlignment="1">
      <alignment horizontal="center" vertical="center" wrapText="1"/>
    </xf>
    <xf numFmtId="0" fontId="24" fillId="19" borderId="3" xfId="3" applyFont="1" applyFill="1" applyBorder="1" applyAlignment="1">
      <alignment horizontal="center" vertical="center" wrapText="1"/>
    </xf>
    <xf numFmtId="0" fontId="24" fillId="19" borderId="1" xfId="3" applyFont="1" applyFill="1" applyBorder="1" applyAlignment="1">
      <alignment horizontal="center" vertical="center" wrapText="1"/>
    </xf>
    <xf numFmtId="43" fontId="24" fillId="7" borderId="1" xfId="4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left" vertical="center"/>
    </xf>
    <xf numFmtId="0" fontId="2" fillId="10" borderId="7" xfId="0" applyFont="1" applyFill="1" applyBorder="1" applyAlignment="1">
      <alignment horizontal="left" vertical="center"/>
    </xf>
    <xf numFmtId="0" fontId="2" fillId="10" borderId="29" xfId="0" applyFont="1" applyFill="1" applyBorder="1" applyAlignment="1">
      <alignment horizontal="left" vertical="center"/>
    </xf>
    <xf numFmtId="0" fontId="5" fillId="10" borderId="1" xfId="0" applyFont="1" applyFill="1" applyBorder="1" applyAlignment="1">
      <alignment horizontal="left" vertical="center"/>
    </xf>
    <xf numFmtId="0" fontId="5" fillId="10" borderId="13" xfId="0" applyFont="1" applyFill="1" applyBorder="1" applyAlignment="1">
      <alignment horizontal="left" vertical="center"/>
    </xf>
    <xf numFmtId="0" fontId="8" fillId="10" borderId="1" xfId="5" applyFont="1" applyFill="1" applyBorder="1" applyAlignment="1">
      <alignment horizontal="center" vertical="center"/>
    </xf>
    <xf numFmtId="0" fontId="2" fillId="10" borderId="1" xfId="0" applyFont="1" applyFill="1" applyBorder="1" applyAlignment="1">
      <alignment horizontal="right" vertical="center"/>
    </xf>
    <xf numFmtId="0" fontId="27" fillId="10" borderId="1" xfId="5" applyFont="1" applyFill="1" applyBorder="1" applyAlignment="1">
      <alignment horizontal="left" vertical="center" wrapText="1"/>
    </xf>
    <xf numFmtId="0" fontId="27" fillId="10" borderId="13" xfId="5" applyFont="1" applyFill="1" applyBorder="1" applyAlignment="1">
      <alignment horizontal="left" vertical="center" wrapText="1"/>
    </xf>
    <xf numFmtId="0" fontId="2" fillId="10" borderId="20" xfId="0" applyFont="1" applyFill="1" applyBorder="1" applyAlignment="1">
      <alignment horizontal="right" vertical="center"/>
    </xf>
    <xf numFmtId="0" fontId="2" fillId="10" borderId="22" xfId="0" applyFont="1" applyFill="1" applyBorder="1" applyAlignment="1">
      <alignment horizontal="left"/>
    </xf>
    <xf numFmtId="0" fontId="2" fillId="10" borderId="23" xfId="0" applyFont="1" applyFill="1" applyBorder="1" applyAlignment="1">
      <alignment horizontal="left"/>
    </xf>
    <xf numFmtId="0" fontId="2" fillId="10" borderId="24" xfId="0" applyFont="1" applyFill="1" applyBorder="1" applyAlignment="1">
      <alignment horizontal="left"/>
    </xf>
    <xf numFmtId="0" fontId="2" fillId="10" borderId="14" xfId="0" applyFont="1" applyFill="1" applyBorder="1" applyAlignment="1">
      <alignment horizontal="left"/>
    </xf>
    <xf numFmtId="0" fontId="2" fillId="10" borderId="2" xfId="0" applyFont="1" applyFill="1" applyBorder="1" applyAlignment="1">
      <alignment horizontal="left"/>
    </xf>
    <xf numFmtId="0" fontId="2" fillId="10" borderId="9" xfId="0" applyFont="1" applyFill="1" applyBorder="1" applyAlignment="1">
      <alignment horizontal="left" vertical="center"/>
    </xf>
    <xf numFmtId="0" fontId="2" fillId="10" borderId="10" xfId="0" applyFont="1" applyFill="1" applyBorder="1" applyAlignment="1">
      <alignment horizontal="left" vertical="center"/>
    </xf>
    <xf numFmtId="0" fontId="2" fillId="10" borderId="86" xfId="0" applyFont="1" applyFill="1" applyBorder="1" applyAlignment="1">
      <alignment horizontal="left" vertical="center"/>
    </xf>
    <xf numFmtId="0" fontId="2" fillId="10" borderId="9" xfId="0" applyFont="1" applyFill="1" applyBorder="1" applyAlignment="1">
      <alignment horizontal="center" vertical="center"/>
    </xf>
    <xf numFmtId="0" fontId="2" fillId="10" borderId="10" xfId="0" applyFont="1" applyFill="1" applyBorder="1" applyAlignment="1">
      <alignment horizontal="center" vertical="center"/>
    </xf>
    <xf numFmtId="0" fontId="2" fillId="10" borderId="15" xfId="0" applyFont="1" applyFill="1" applyBorder="1" applyAlignment="1">
      <alignment horizontal="center" vertical="center"/>
    </xf>
    <xf numFmtId="0" fontId="2" fillId="10" borderId="4" xfId="0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left" vertical="center"/>
    </xf>
    <xf numFmtId="0" fontId="2" fillId="10" borderId="23" xfId="0" applyFont="1" applyFill="1" applyBorder="1" applyAlignment="1">
      <alignment horizontal="left" vertical="center"/>
    </xf>
    <xf numFmtId="44" fontId="2" fillId="10" borderId="11" xfId="0" applyNumberFormat="1" applyFont="1" applyFill="1" applyBorder="1" applyAlignment="1">
      <alignment horizontal="center" vertical="top"/>
    </xf>
    <xf numFmtId="44" fontId="2" fillId="10" borderId="13" xfId="0" applyNumberFormat="1" applyFont="1" applyFill="1" applyBorder="1" applyAlignment="1">
      <alignment horizontal="center" vertical="top"/>
    </xf>
    <xf numFmtId="0" fontId="0" fillId="10" borderId="15" xfId="0" applyFill="1" applyBorder="1" applyAlignment="1">
      <alignment horizontal="center" vertical="center"/>
    </xf>
    <xf numFmtId="0" fontId="0" fillId="10" borderId="16" xfId="0" applyFill="1" applyBorder="1" applyAlignment="1">
      <alignment horizontal="center" vertical="center"/>
    </xf>
    <xf numFmtId="0" fontId="0" fillId="10" borderId="14" xfId="0" applyFill="1" applyBorder="1" applyAlignment="1">
      <alignment horizontal="center"/>
    </xf>
    <xf numFmtId="0" fontId="0" fillId="10" borderId="3" xfId="0" applyFill="1" applyBorder="1" applyAlignment="1">
      <alignment horizontal="center"/>
    </xf>
    <xf numFmtId="44" fontId="2" fillId="10" borderId="17" xfId="0" applyNumberFormat="1" applyFont="1" applyFill="1" applyBorder="1" applyAlignment="1">
      <alignment horizontal="center" vertical="top"/>
    </xf>
    <xf numFmtId="44" fontId="2" fillId="10" borderId="21" xfId="0" applyNumberFormat="1" applyFont="1" applyFill="1" applyBorder="1" applyAlignment="1">
      <alignment horizontal="center" vertical="top"/>
    </xf>
    <xf numFmtId="0" fontId="0" fillId="10" borderId="27" xfId="0" applyFill="1" applyBorder="1" applyAlignment="1">
      <alignment horizontal="center" vertical="center"/>
    </xf>
    <xf numFmtId="0" fontId="0" fillId="10" borderId="28" xfId="0" applyFill="1" applyBorder="1" applyAlignment="1">
      <alignment horizontal="center" vertical="center"/>
    </xf>
    <xf numFmtId="44" fontId="2" fillId="10" borderId="26" xfId="0" applyNumberFormat="1" applyFont="1" applyFill="1" applyBorder="1" applyAlignment="1">
      <alignment horizontal="center" vertical="top"/>
    </xf>
    <xf numFmtId="44" fontId="2" fillId="10" borderId="18" xfId="0" applyNumberFormat="1" applyFont="1" applyFill="1" applyBorder="1" applyAlignment="1">
      <alignment horizontal="center" vertical="top"/>
    </xf>
    <xf numFmtId="0" fontId="0" fillId="10" borderId="12" xfId="0" applyFill="1" applyBorder="1" applyAlignment="1">
      <alignment horizontal="left" vertical="center"/>
    </xf>
    <xf numFmtId="0" fontId="0" fillId="10" borderId="1" xfId="0" applyFill="1" applyBorder="1" applyAlignment="1">
      <alignment horizontal="left" vertical="center"/>
    </xf>
    <xf numFmtId="0" fontId="0" fillId="10" borderId="14" xfId="0" applyFill="1" applyBorder="1" applyAlignment="1">
      <alignment horizontal="left" vertical="center"/>
    </xf>
    <xf numFmtId="0" fontId="0" fillId="10" borderId="2" xfId="0" applyFill="1" applyBorder="1" applyAlignment="1">
      <alignment horizontal="left" vertical="center"/>
    </xf>
    <xf numFmtId="0" fontId="0" fillId="10" borderId="3" xfId="0" applyFill="1" applyBorder="1" applyAlignment="1">
      <alignment horizontal="left" vertical="center"/>
    </xf>
    <xf numFmtId="0" fontId="0" fillId="10" borderId="1" xfId="0" applyFill="1" applyBorder="1" applyAlignment="1">
      <alignment vertical="center"/>
    </xf>
    <xf numFmtId="0" fontId="2" fillId="10" borderId="86" xfId="0" applyFont="1" applyFill="1" applyBorder="1" applyAlignment="1">
      <alignment horizontal="center" vertical="center"/>
    </xf>
    <xf numFmtId="0" fontId="2" fillId="10" borderId="90" xfId="0" applyFont="1" applyFill="1" applyBorder="1" applyAlignment="1">
      <alignment horizontal="center" vertical="center"/>
    </xf>
    <xf numFmtId="0" fontId="3" fillId="7" borderId="6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/>
    </xf>
    <xf numFmtId="0" fontId="3" fillId="7" borderId="8" xfId="0" applyFont="1" applyFill="1" applyBorder="1" applyAlignment="1">
      <alignment horizontal="center" vertical="center"/>
    </xf>
    <xf numFmtId="0" fontId="32" fillId="18" borderId="0" xfId="0" applyFont="1" applyFill="1" applyAlignment="1">
      <alignment horizontal="center" vertical="center"/>
    </xf>
    <xf numFmtId="0" fontId="33" fillId="0" borderId="0" xfId="0" applyFont="1" applyAlignment="1">
      <alignment horizontal="center" vertical="center"/>
    </xf>
    <xf numFmtId="0" fontId="2" fillId="7" borderId="9" xfId="0" applyFont="1" applyFill="1" applyBorder="1" applyAlignment="1">
      <alignment horizontal="center"/>
    </xf>
    <xf numFmtId="0" fontId="2" fillId="7" borderId="10" xfId="0" applyFont="1" applyFill="1" applyBorder="1" applyAlignment="1">
      <alignment horizontal="center"/>
    </xf>
    <xf numFmtId="0" fontId="2" fillId="7" borderId="11" xfId="0" applyFont="1" applyFill="1" applyBorder="1" applyAlignment="1">
      <alignment horizontal="center"/>
    </xf>
    <xf numFmtId="0" fontId="2" fillId="10" borderId="12" xfId="0" applyFont="1" applyFill="1" applyBorder="1" applyAlignment="1">
      <alignment horizontal="center" vertical="center"/>
    </xf>
    <xf numFmtId="0" fontId="2" fillId="10" borderId="19" xfId="0" applyFont="1" applyFill="1" applyBorder="1" applyAlignment="1">
      <alignment horizontal="center" vertical="center"/>
    </xf>
    <xf numFmtId="0" fontId="31" fillId="10" borderId="0" xfId="0" applyFont="1" applyFill="1" applyBorder="1" applyAlignment="1">
      <alignment horizontal="left" vertical="top"/>
    </xf>
    <xf numFmtId="0" fontId="27" fillId="7" borderId="9" xfId="5" applyFont="1" applyFill="1" applyBorder="1" applyAlignment="1">
      <alignment horizontal="center" vertical="center"/>
    </xf>
    <xf numFmtId="0" fontId="27" fillId="7" borderId="10" xfId="5" applyFont="1" applyFill="1" applyBorder="1" applyAlignment="1">
      <alignment horizontal="center" vertical="center"/>
    </xf>
    <xf numFmtId="0" fontId="27" fillId="7" borderId="11" xfId="5" applyFont="1" applyFill="1" applyBorder="1" applyAlignment="1">
      <alignment horizontal="center" vertical="center"/>
    </xf>
    <xf numFmtId="0" fontId="2" fillId="10" borderId="11" xfId="0" applyFont="1" applyFill="1" applyBorder="1" applyAlignment="1">
      <alignment horizontal="center" vertical="center"/>
    </xf>
    <xf numFmtId="7" fontId="3" fillId="7" borderId="6" xfId="0" applyNumberFormat="1" applyFont="1" applyFill="1" applyBorder="1" applyAlignment="1">
      <alignment horizontal="center" vertical="center"/>
    </xf>
    <xf numFmtId="7" fontId="3" fillId="7" borderId="7" xfId="0" applyNumberFormat="1" applyFont="1" applyFill="1" applyBorder="1" applyAlignment="1">
      <alignment horizontal="center" vertical="center"/>
    </xf>
    <xf numFmtId="7" fontId="3" fillId="7" borderId="8" xfId="0" applyNumberFormat="1" applyFont="1" applyFill="1" applyBorder="1" applyAlignment="1">
      <alignment horizontal="center" vertical="center"/>
    </xf>
    <xf numFmtId="44" fontId="2" fillId="10" borderId="25" xfId="0" applyNumberFormat="1" applyFont="1" applyFill="1" applyBorder="1" applyAlignment="1">
      <alignment horizontal="center" vertical="top"/>
    </xf>
    <xf numFmtId="0" fontId="2" fillId="10" borderId="3" xfId="0" applyFont="1" applyFill="1" applyBorder="1" applyAlignment="1">
      <alignment horizontal="left"/>
    </xf>
    <xf numFmtId="0" fontId="0" fillId="10" borderId="102" xfId="0" applyFill="1" applyBorder="1" applyAlignment="1">
      <alignment horizontal="center" vertical="center"/>
    </xf>
    <xf numFmtId="0" fontId="0" fillId="10" borderId="72" xfId="0" applyFill="1" applyBorder="1" applyAlignment="1">
      <alignment horizontal="center" vertical="center"/>
    </xf>
    <xf numFmtId="0" fontId="0" fillId="10" borderId="27" xfId="0" applyFill="1" applyBorder="1" applyAlignment="1">
      <alignment horizontal="left" vertical="center"/>
    </xf>
    <xf numFmtId="0" fontId="0" fillId="10" borderId="83" xfId="0" applyFill="1" applyBorder="1" applyAlignment="1">
      <alignment horizontal="left" vertical="center"/>
    </xf>
    <xf numFmtId="0" fontId="0" fillId="10" borderId="28" xfId="0" applyFill="1" applyBorder="1" applyAlignment="1">
      <alignment horizontal="left" vertical="center"/>
    </xf>
    <xf numFmtId="0" fontId="27" fillId="7" borderId="112" xfId="5" applyFont="1" applyFill="1" applyBorder="1" applyAlignment="1">
      <alignment horizontal="center" vertical="center"/>
    </xf>
    <xf numFmtId="0" fontId="27" fillId="7" borderId="30" xfId="5" applyFont="1" applyFill="1" applyBorder="1" applyAlignment="1">
      <alignment horizontal="center" vertical="center"/>
    </xf>
    <xf numFmtId="0" fontId="27" fillId="7" borderId="31" xfId="5" applyFont="1" applyFill="1" applyBorder="1" applyAlignment="1">
      <alignment horizontal="center" vertical="center"/>
    </xf>
    <xf numFmtId="0" fontId="33" fillId="10" borderId="0" xfId="0" applyFont="1" applyFill="1" applyAlignment="1">
      <alignment horizontal="center" vertical="center"/>
    </xf>
    <xf numFmtId="164" fontId="2" fillId="10" borderId="11" xfId="0" applyNumberFormat="1" applyFont="1" applyFill="1" applyBorder="1" applyAlignment="1">
      <alignment horizontal="center" vertical="top"/>
    </xf>
    <xf numFmtId="0" fontId="2" fillId="10" borderId="13" xfId="0" applyFont="1" applyFill="1" applyBorder="1" applyAlignment="1">
      <alignment horizontal="center" vertical="top"/>
    </xf>
    <xf numFmtId="0" fontId="2" fillId="10" borderId="25" xfId="0" applyFont="1" applyFill="1" applyBorder="1" applyAlignment="1">
      <alignment horizontal="center" vertical="top"/>
    </xf>
    <xf numFmtId="0" fontId="34" fillId="10" borderId="12" xfId="0" applyFont="1" applyFill="1" applyBorder="1" applyAlignment="1">
      <alignment horizontal="center" vertical="center"/>
    </xf>
    <xf numFmtId="0" fontId="34" fillId="10" borderId="19" xfId="0" applyFont="1" applyFill="1" applyBorder="1" applyAlignment="1">
      <alignment horizontal="center" vertical="center"/>
    </xf>
    <xf numFmtId="0" fontId="31" fillId="10" borderId="0" xfId="0" applyFont="1" applyFill="1" applyBorder="1" applyAlignment="1">
      <alignment horizontal="left" vertical="center"/>
    </xf>
    <xf numFmtId="0" fontId="34" fillId="10" borderId="15" xfId="0" applyFont="1" applyFill="1" applyBorder="1" applyAlignment="1">
      <alignment horizontal="center" vertical="center"/>
    </xf>
    <xf numFmtId="0" fontId="34" fillId="10" borderId="16" xfId="0" applyFont="1" applyFill="1" applyBorder="1" applyAlignment="1">
      <alignment horizontal="center" vertical="center"/>
    </xf>
    <xf numFmtId="0" fontId="34" fillId="10" borderId="89" xfId="0" applyFont="1" applyFill="1" applyBorder="1" applyAlignment="1">
      <alignment horizontal="center" vertical="center"/>
    </xf>
    <xf numFmtId="0" fontId="15" fillId="4" borderId="57" xfId="7" applyFont="1" applyFill="1" applyBorder="1" applyAlignment="1">
      <alignment horizontal="center" vertical="center" wrapText="1"/>
    </xf>
    <xf numFmtId="0" fontId="15" fillId="4" borderId="58" xfId="7" applyFont="1" applyFill="1" applyBorder="1" applyAlignment="1">
      <alignment horizontal="center" vertical="center" wrapText="1"/>
    </xf>
    <xf numFmtId="0" fontId="15" fillId="4" borderId="61" xfId="7" applyFont="1" applyFill="1" applyBorder="1" applyAlignment="1">
      <alignment horizontal="center" vertical="center" wrapText="1"/>
    </xf>
    <xf numFmtId="0" fontId="15" fillId="4" borderId="35" xfId="7" applyFont="1" applyFill="1" applyBorder="1" applyAlignment="1">
      <alignment horizontal="center" vertical="center" wrapText="1"/>
    </xf>
    <xf numFmtId="0" fontId="15" fillId="4" borderId="53" xfId="7" applyFont="1" applyFill="1" applyBorder="1" applyAlignment="1">
      <alignment horizontal="center" vertical="center" wrapText="1"/>
    </xf>
    <xf numFmtId="0" fontId="15" fillId="4" borderId="62" xfId="7" applyFont="1" applyFill="1" applyBorder="1" applyAlignment="1">
      <alignment horizontal="center" vertical="center" wrapText="1"/>
    </xf>
    <xf numFmtId="0" fontId="15" fillId="4" borderId="60" xfId="7" applyFont="1" applyFill="1" applyBorder="1" applyAlignment="1">
      <alignment horizontal="center" vertical="center" wrapText="1"/>
    </xf>
    <xf numFmtId="0" fontId="15" fillId="4" borderId="39" xfId="7" applyFont="1" applyFill="1" applyBorder="1" applyAlignment="1">
      <alignment horizontal="center" vertical="center" wrapText="1"/>
    </xf>
    <xf numFmtId="0" fontId="15" fillId="4" borderId="59" xfId="7" applyFont="1" applyFill="1" applyBorder="1" applyAlignment="1">
      <alignment horizontal="center" vertical="center" wrapText="1"/>
    </xf>
    <xf numFmtId="0" fontId="15" fillId="4" borderId="54" xfId="7" applyFont="1" applyFill="1" applyBorder="1" applyAlignment="1">
      <alignment horizontal="center" vertical="center" wrapText="1"/>
    </xf>
    <xf numFmtId="0" fontId="15" fillId="4" borderId="55" xfId="7" applyFont="1" applyFill="1" applyBorder="1" applyAlignment="1">
      <alignment horizontal="center" vertical="center" wrapText="1"/>
    </xf>
    <xf numFmtId="0" fontId="15" fillId="4" borderId="56" xfId="7" applyFont="1" applyFill="1" applyBorder="1" applyAlignment="1">
      <alignment horizontal="center" vertical="center" wrapText="1"/>
    </xf>
    <xf numFmtId="0" fontId="13" fillId="3" borderId="43" xfId="0" applyFont="1" applyFill="1" applyBorder="1" applyAlignment="1">
      <alignment horizontal="center" vertical="center" wrapText="1"/>
    </xf>
    <xf numFmtId="0" fontId="13" fillId="3" borderId="47" xfId="0" applyFont="1" applyFill="1" applyBorder="1" applyAlignment="1">
      <alignment horizontal="center" vertical="center" wrapText="1"/>
    </xf>
    <xf numFmtId="0" fontId="13" fillId="3" borderId="52" xfId="0" applyFont="1" applyFill="1" applyBorder="1" applyAlignment="1">
      <alignment horizontal="center" vertical="center" wrapText="1"/>
    </xf>
    <xf numFmtId="0" fontId="13" fillId="3" borderId="44" xfId="0" applyFont="1" applyFill="1" applyBorder="1" applyAlignment="1">
      <alignment horizontal="center" vertical="center" wrapText="1"/>
    </xf>
    <xf numFmtId="0" fontId="13" fillId="3" borderId="48" xfId="0" applyFont="1" applyFill="1" applyBorder="1" applyAlignment="1">
      <alignment horizontal="center" vertical="center" wrapText="1"/>
    </xf>
    <xf numFmtId="0" fontId="13" fillId="3" borderId="49" xfId="0" applyFont="1" applyFill="1" applyBorder="1" applyAlignment="1">
      <alignment horizontal="center" vertical="center" wrapText="1"/>
    </xf>
    <xf numFmtId="0" fontId="13" fillId="3" borderId="44" xfId="0" applyFont="1" applyFill="1" applyBorder="1" applyAlignment="1">
      <alignment horizontal="justify" vertical="center" wrapText="1"/>
    </xf>
    <xf numFmtId="0" fontId="13" fillId="3" borderId="48" xfId="0" applyFont="1" applyFill="1" applyBorder="1" applyAlignment="1">
      <alignment horizontal="justify" vertical="center" wrapText="1"/>
    </xf>
    <xf numFmtId="0" fontId="13" fillId="3" borderId="49" xfId="0" applyFont="1" applyFill="1" applyBorder="1" applyAlignment="1">
      <alignment horizontal="justify" vertical="center" wrapText="1"/>
    </xf>
    <xf numFmtId="0" fontId="13" fillId="3" borderId="44" xfId="0" applyFont="1" applyFill="1" applyBorder="1" applyAlignment="1">
      <alignment horizontal="left" vertical="center" wrapText="1"/>
    </xf>
    <xf numFmtId="0" fontId="13" fillId="3" borderId="49" xfId="0" applyFont="1" applyFill="1" applyBorder="1" applyAlignment="1">
      <alignment horizontal="left" vertical="center" wrapText="1"/>
    </xf>
    <xf numFmtId="0" fontId="13" fillId="3" borderId="32" xfId="0" applyFont="1" applyFill="1" applyBorder="1" applyAlignment="1">
      <alignment horizontal="center" vertical="center" wrapText="1"/>
    </xf>
    <xf numFmtId="0" fontId="13" fillId="3" borderId="33" xfId="0" applyFont="1" applyFill="1" applyBorder="1" applyAlignment="1">
      <alignment horizontal="center" vertical="center" wrapText="1"/>
    </xf>
    <xf numFmtId="0" fontId="13" fillId="3" borderId="34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center" vertical="center" wrapText="1"/>
    </xf>
    <xf numFmtId="0" fontId="13" fillId="3" borderId="46" xfId="0" applyFont="1" applyFill="1" applyBorder="1" applyAlignment="1">
      <alignment horizontal="center" vertical="center" wrapText="1"/>
    </xf>
    <xf numFmtId="0" fontId="13" fillId="3" borderId="50" xfId="0" applyFont="1" applyFill="1" applyBorder="1" applyAlignment="1">
      <alignment horizontal="center" vertical="center" wrapText="1"/>
    </xf>
    <xf numFmtId="0" fontId="13" fillId="3" borderId="51" xfId="0" applyFont="1" applyFill="1" applyBorder="1" applyAlignment="1">
      <alignment horizontal="center" vertical="center" wrapText="1"/>
    </xf>
    <xf numFmtId="0" fontId="13" fillId="3" borderId="45" xfId="0" applyFont="1" applyFill="1" applyBorder="1" applyAlignment="1">
      <alignment horizontal="justify" vertical="center" wrapText="1"/>
    </xf>
    <xf numFmtId="0" fontId="13" fillId="3" borderId="50" xfId="0" applyFont="1" applyFill="1" applyBorder="1" applyAlignment="1">
      <alignment horizontal="justify" vertical="center" wrapText="1"/>
    </xf>
    <xf numFmtId="0" fontId="13" fillId="3" borderId="32" xfId="0" applyFont="1" applyFill="1" applyBorder="1" applyAlignment="1">
      <alignment horizontal="justify" vertical="center" wrapText="1"/>
    </xf>
    <xf numFmtId="0" fontId="13" fillId="3" borderId="34" xfId="0" applyFont="1" applyFill="1" applyBorder="1" applyAlignment="1">
      <alignment horizontal="justify" vertical="center" wrapText="1"/>
    </xf>
    <xf numFmtId="0" fontId="10" fillId="4" borderId="116" xfId="7" applyFill="1" applyBorder="1" applyAlignment="1">
      <alignment horizontal="left" vertical="top" wrapText="1"/>
    </xf>
    <xf numFmtId="0" fontId="10" fillId="4" borderId="38" xfId="7" applyFill="1" applyBorder="1" applyAlignment="1">
      <alignment horizontal="left" vertical="top" wrapText="1"/>
    </xf>
    <xf numFmtId="0" fontId="16" fillId="4" borderId="38" xfId="7" applyFont="1" applyFill="1" applyBorder="1" applyAlignment="1">
      <alignment horizontal="left" vertical="top" wrapText="1"/>
    </xf>
    <xf numFmtId="166" fontId="17" fillId="4" borderId="60" xfId="7" applyNumberFormat="1" applyFont="1" applyFill="1" applyBorder="1" applyAlignment="1">
      <alignment horizontal="center" vertical="center" wrapText="1"/>
    </xf>
    <xf numFmtId="166" fontId="17" fillId="4" borderId="39" xfId="7" applyNumberFormat="1" applyFont="1" applyFill="1" applyBorder="1" applyAlignment="1">
      <alignment horizontal="center" vertical="center" wrapText="1"/>
    </xf>
    <xf numFmtId="0" fontId="18" fillId="0" borderId="78" xfId="7" applyFont="1" applyBorder="1" applyAlignment="1">
      <alignment horizontal="left" vertical="top" wrapText="1"/>
    </xf>
    <xf numFmtId="0" fontId="18" fillId="0" borderId="79" xfId="7" applyFont="1" applyBorder="1" applyAlignment="1">
      <alignment horizontal="left" vertical="top" wrapText="1"/>
    </xf>
    <xf numFmtId="0" fontId="18" fillId="0" borderId="80" xfId="7" applyFont="1" applyBorder="1" applyAlignment="1">
      <alignment horizontal="left" vertical="top" wrapText="1"/>
    </xf>
    <xf numFmtId="0" fontId="18" fillId="10" borderId="121" xfId="7" applyFont="1" applyFill="1" applyBorder="1" applyAlignment="1">
      <alignment horizontal="center" vertical="center" wrapText="1"/>
    </xf>
    <xf numFmtId="0" fontId="18" fillId="10" borderId="40" xfId="7" applyFont="1" applyFill="1" applyBorder="1" applyAlignment="1">
      <alignment horizontal="center" vertical="center" wrapText="1"/>
    </xf>
    <xf numFmtId="166" fontId="19" fillId="10" borderId="61" xfId="7" applyNumberFormat="1" applyFont="1" applyFill="1" applyBorder="1" applyAlignment="1">
      <alignment horizontal="center" vertical="center" wrapText="1"/>
    </xf>
    <xf numFmtId="166" fontId="19" fillId="10" borderId="35" xfId="7" applyNumberFormat="1" applyFont="1" applyFill="1" applyBorder="1" applyAlignment="1">
      <alignment horizontal="center" vertical="center" wrapText="1"/>
    </xf>
    <xf numFmtId="0" fontId="10" fillId="10" borderId="116" xfId="7" applyFill="1" applyBorder="1" applyAlignment="1">
      <alignment horizontal="center" vertical="center" wrapText="1"/>
    </xf>
    <xf numFmtId="0" fontId="10" fillId="10" borderId="38" xfId="7" applyFill="1" applyBorder="1" applyAlignment="1">
      <alignment horizontal="center" vertical="center" wrapText="1"/>
    </xf>
    <xf numFmtId="0" fontId="16" fillId="10" borderId="38" xfId="7" applyFont="1" applyFill="1" applyBorder="1" applyAlignment="1">
      <alignment horizontal="right" vertical="center" wrapText="1"/>
    </xf>
    <xf numFmtId="166" fontId="20" fillId="10" borderId="60" xfId="7" applyNumberFormat="1" applyFont="1" applyFill="1" applyBorder="1" applyAlignment="1">
      <alignment horizontal="center" vertical="center" wrapText="1"/>
    </xf>
    <xf numFmtId="166" fontId="20" fillId="10" borderId="39" xfId="7" applyNumberFormat="1" applyFont="1" applyFill="1" applyBorder="1" applyAlignment="1">
      <alignment horizontal="center" vertical="center" wrapText="1"/>
    </xf>
    <xf numFmtId="0" fontId="18" fillId="10" borderId="118" xfId="7" applyFont="1" applyFill="1" applyBorder="1" applyAlignment="1">
      <alignment horizontal="center" vertical="center" wrapText="1"/>
    </xf>
    <xf numFmtId="0" fontId="18" fillId="10" borderId="65" xfId="7" applyFont="1" applyFill="1" applyBorder="1" applyAlignment="1">
      <alignment horizontal="center" vertical="center" wrapText="1"/>
    </xf>
    <xf numFmtId="166" fontId="19" fillId="10" borderId="64" xfId="7" applyNumberFormat="1" applyFont="1" applyFill="1" applyBorder="1" applyAlignment="1">
      <alignment horizontal="center" vertical="center" wrapText="1"/>
    </xf>
    <xf numFmtId="166" fontId="19" fillId="10" borderId="63" xfId="7" applyNumberFormat="1" applyFont="1" applyFill="1" applyBorder="1" applyAlignment="1">
      <alignment horizontal="center" vertical="center" wrapText="1"/>
    </xf>
    <xf numFmtId="0" fontId="18" fillId="10" borderId="82" xfId="7" applyFont="1" applyFill="1" applyBorder="1" applyAlignment="1">
      <alignment horizontal="center" vertical="center" wrapText="1"/>
    </xf>
    <xf numFmtId="0" fontId="18" fillId="10" borderId="0" xfId="7" applyFont="1" applyFill="1" applyBorder="1" applyAlignment="1">
      <alignment horizontal="center" vertical="center" wrapText="1"/>
    </xf>
    <xf numFmtId="166" fontId="19" fillId="10" borderId="67" xfId="7" applyNumberFormat="1" applyFont="1" applyFill="1" applyBorder="1" applyAlignment="1">
      <alignment horizontal="center" vertical="center" wrapText="1"/>
    </xf>
    <xf numFmtId="166" fontId="19" fillId="10" borderId="66" xfId="7" applyNumberFormat="1" applyFont="1" applyFill="1" applyBorder="1" applyAlignment="1">
      <alignment horizontal="center" vertical="center" wrapText="1"/>
    </xf>
    <xf numFmtId="0" fontId="16" fillId="10" borderId="38" xfId="7" applyFont="1" applyFill="1" applyBorder="1" applyAlignment="1">
      <alignment horizontal="center" vertical="center" wrapText="1"/>
    </xf>
    <xf numFmtId="0" fontId="16" fillId="10" borderId="60" xfId="7" applyFont="1" applyFill="1" applyBorder="1" applyAlignment="1">
      <alignment horizontal="center" vertical="center" wrapText="1"/>
    </xf>
    <xf numFmtId="0" fontId="16" fillId="10" borderId="39" xfId="7" applyFont="1" applyFill="1" applyBorder="1" applyAlignment="1">
      <alignment horizontal="center" vertical="center" wrapText="1"/>
    </xf>
    <xf numFmtId="0" fontId="18" fillId="10" borderId="116" xfId="7" applyFont="1" applyFill="1" applyBorder="1" applyAlignment="1">
      <alignment horizontal="center" vertical="center" wrapText="1"/>
    </xf>
    <xf numFmtId="0" fontId="18" fillId="10" borderId="38" xfId="7" applyFont="1" applyFill="1" applyBorder="1" applyAlignment="1">
      <alignment horizontal="center" vertical="center" wrapText="1"/>
    </xf>
    <xf numFmtId="166" fontId="19" fillId="10" borderId="60" xfId="7" applyNumberFormat="1" applyFont="1" applyFill="1" applyBorder="1" applyAlignment="1">
      <alignment horizontal="center" vertical="center" wrapText="1"/>
    </xf>
    <xf numFmtId="166" fontId="19" fillId="10" borderId="39" xfId="7" applyNumberFormat="1" applyFont="1" applyFill="1" applyBorder="1" applyAlignment="1">
      <alignment horizontal="center" vertical="center" wrapText="1"/>
    </xf>
    <xf numFmtId="0" fontId="16" fillId="4" borderId="113" xfId="7" applyFont="1" applyFill="1" applyBorder="1" applyAlignment="1">
      <alignment horizontal="left" vertical="top" wrapText="1"/>
    </xf>
    <xf numFmtId="0" fontId="16" fillId="4" borderId="114" xfId="7" applyFont="1" applyFill="1" applyBorder="1" applyAlignment="1">
      <alignment horizontal="left" vertical="top" wrapText="1"/>
    </xf>
    <xf numFmtId="0" fontId="16" fillId="4" borderId="115" xfId="7" applyFont="1" applyFill="1" applyBorder="1" applyAlignment="1">
      <alignment horizontal="left" vertical="top" wrapText="1"/>
    </xf>
    <xf numFmtId="0" fontId="18" fillId="10" borderId="60" xfId="7" applyFont="1" applyFill="1" applyBorder="1" applyAlignment="1">
      <alignment horizontal="center" vertical="center" wrapText="1"/>
    </xf>
    <xf numFmtId="0" fontId="18" fillId="10" borderId="39" xfId="7" applyFont="1" applyFill="1" applyBorder="1" applyAlignment="1">
      <alignment horizontal="center" vertical="center" wrapText="1"/>
    </xf>
    <xf numFmtId="0" fontId="18" fillId="10" borderId="63" xfId="7" applyFont="1" applyFill="1" applyBorder="1" applyAlignment="1">
      <alignment horizontal="center" vertical="center" wrapText="1"/>
    </xf>
    <xf numFmtId="0" fontId="18" fillId="10" borderId="35" xfId="7" applyFont="1" applyFill="1" applyBorder="1" applyAlignment="1">
      <alignment horizontal="center" vertical="center" wrapText="1"/>
    </xf>
    <xf numFmtId="0" fontId="18" fillId="10" borderId="0" xfId="7" applyFont="1" applyFill="1" applyAlignment="1">
      <alignment horizontal="center" vertical="center" wrapText="1"/>
    </xf>
    <xf numFmtId="0" fontId="18" fillId="10" borderId="66" xfId="7" applyFont="1" applyFill="1" applyBorder="1" applyAlignment="1">
      <alignment horizontal="center" vertical="center" wrapText="1"/>
    </xf>
    <xf numFmtId="0" fontId="16" fillId="4" borderId="38" xfId="7" applyFont="1" applyFill="1" applyBorder="1" applyAlignment="1">
      <alignment horizontal="center" vertical="center" wrapText="1"/>
    </xf>
    <xf numFmtId="0" fontId="16" fillId="4" borderId="39" xfId="7" applyFont="1" applyFill="1" applyBorder="1" applyAlignment="1">
      <alignment horizontal="center" vertical="center" wrapText="1"/>
    </xf>
    <xf numFmtId="0" fontId="16" fillId="4" borderId="60" xfId="7" applyFont="1" applyFill="1" applyBorder="1" applyAlignment="1">
      <alignment horizontal="center" vertical="center" wrapText="1"/>
    </xf>
    <xf numFmtId="0" fontId="10" fillId="10" borderId="39" xfId="7" applyFill="1" applyBorder="1" applyAlignment="1">
      <alignment horizontal="center" vertical="center" wrapText="1"/>
    </xf>
    <xf numFmtId="0" fontId="16" fillId="4" borderId="63" xfId="7" applyFont="1" applyFill="1" applyBorder="1" applyAlignment="1">
      <alignment horizontal="center" vertical="center" wrapText="1"/>
    </xf>
    <xf numFmtId="0" fontId="16" fillId="4" borderId="35" xfId="7" applyFont="1" applyFill="1" applyBorder="1" applyAlignment="1">
      <alignment horizontal="center" vertical="center" wrapText="1"/>
    </xf>
    <xf numFmtId="0" fontId="16" fillId="4" borderId="64" xfId="7" applyFont="1" applyFill="1" applyBorder="1" applyAlignment="1">
      <alignment horizontal="center" vertical="center" wrapText="1"/>
    </xf>
    <xf numFmtId="0" fontId="16" fillId="4" borderId="61" xfId="7" applyFont="1" applyFill="1" applyBorder="1" applyAlignment="1">
      <alignment horizontal="center" vertical="center" wrapText="1"/>
    </xf>
    <xf numFmtId="0" fontId="16" fillId="4" borderId="65" xfId="7" applyFont="1" applyFill="1" applyBorder="1" applyAlignment="1">
      <alignment horizontal="center" vertical="center" wrapText="1"/>
    </xf>
    <xf numFmtId="0" fontId="16" fillId="4" borderId="40" xfId="7" applyFont="1" applyFill="1" applyBorder="1" applyAlignment="1">
      <alignment horizontal="center" vertical="center" wrapText="1"/>
    </xf>
    <xf numFmtId="0" fontId="12" fillId="5" borderId="1" xfId="3" applyFont="1" applyFill="1" applyBorder="1" applyAlignment="1">
      <alignment horizontal="center" vertical="center" wrapText="1"/>
    </xf>
    <xf numFmtId="0" fontId="29" fillId="5" borderId="78" xfId="0" applyFont="1" applyFill="1" applyBorder="1" applyAlignment="1">
      <alignment horizontal="right" vertical="center" wrapText="1"/>
    </xf>
    <xf numFmtId="0" fontId="29" fillId="5" borderId="79" xfId="0" applyFont="1" applyFill="1" applyBorder="1" applyAlignment="1">
      <alignment horizontal="right" vertical="center" wrapText="1"/>
    </xf>
    <xf numFmtId="0" fontId="29" fillId="5" borderId="80" xfId="0" applyFont="1" applyFill="1" applyBorder="1" applyAlignment="1">
      <alignment horizontal="right" vertical="center" wrapText="1"/>
    </xf>
    <xf numFmtId="0" fontId="2" fillId="10" borderId="24" xfId="0" applyFont="1" applyFill="1" applyBorder="1" applyAlignment="1">
      <alignment horizontal="left" vertical="center"/>
    </xf>
    <xf numFmtId="2" fontId="8" fillId="10" borderId="1" xfId="5" applyNumberFormat="1" applyFont="1" applyFill="1" applyBorder="1" applyAlignment="1">
      <alignment horizontal="center" vertical="center"/>
    </xf>
    <xf numFmtId="0" fontId="32" fillId="18" borderId="0" xfId="0" applyFont="1" applyFill="1" applyBorder="1" applyAlignment="1">
      <alignment horizontal="center" vertical="center"/>
    </xf>
    <xf numFmtId="0" fontId="33" fillId="10" borderId="0" xfId="0" applyFont="1" applyFill="1" applyBorder="1" applyAlignment="1">
      <alignment horizontal="center" vertical="center"/>
    </xf>
    <xf numFmtId="0" fontId="35" fillId="10" borderId="12" xfId="0" applyFont="1" applyFill="1" applyBorder="1" applyAlignment="1">
      <alignment horizontal="center" vertical="center"/>
    </xf>
    <xf numFmtId="0" fontId="35" fillId="10" borderId="19" xfId="0" applyFont="1" applyFill="1" applyBorder="1" applyAlignment="1">
      <alignment horizontal="center" vertical="center"/>
    </xf>
    <xf numFmtId="0" fontId="28" fillId="0" borderId="69" xfId="0" applyFont="1" applyBorder="1" applyAlignment="1">
      <alignment horizontal="center" vertical="center" wrapText="1"/>
    </xf>
    <xf numFmtId="0" fontId="28" fillId="0" borderId="2" xfId="0" applyFont="1" applyBorder="1" applyAlignment="1">
      <alignment horizontal="center" vertical="center" wrapText="1"/>
    </xf>
    <xf numFmtId="0" fontId="28" fillId="0" borderId="3" xfId="0" applyFont="1" applyBorder="1" applyAlignment="1">
      <alignment horizontal="center" vertical="center" wrapText="1"/>
    </xf>
    <xf numFmtId="0" fontId="28" fillId="0" borderId="92" xfId="0" applyFont="1" applyBorder="1" applyAlignment="1">
      <alignment horizontal="center" vertical="center" wrapText="1"/>
    </xf>
    <xf numFmtId="0" fontId="28" fillId="0" borderId="73" xfId="0" applyFont="1" applyBorder="1" applyAlignment="1">
      <alignment horizontal="center" wrapText="1"/>
    </xf>
    <xf numFmtId="0" fontId="28" fillId="0" borderId="74" xfId="0" applyFont="1" applyBorder="1" applyAlignment="1">
      <alignment horizontal="center" wrapText="1"/>
    </xf>
    <xf numFmtId="0" fontId="28" fillId="0" borderId="41" xfId="0" applyFont="1" applyBorder="1" applyAlignment="1">
      <alignment horizontal="center" wrapText="1"/>
    </xf>
    <xf numFmtId="0" fontId="28" fillId="0" borderId="92" xfId="0" applyFont="1" applyBorder="1" applyAlignment="1">
      <alignment horizontal="center" wrapText="1"/>
    </xf>
    <xf numFmtId="0" fontId="28" fillId="0" borderId="71" xfId="0" applyFont="1" applyBorder="1" applyAlignment="1">
      <alignment horizontal="center" wrapText="1"/>
    </xf>
    <xf numFmtId="0" fontId="28" fillId="0" borderId="70" xfId="0" applyFont="1" applyBorder="1" applyAlignment="1">
      <alignment horizontal="center" wrapText="1"/>
    </xf>
    <xf numFmtId="0" fontId="28" fillId="0" borderId="72" xfId="0" applyFont="1" applyBorder="1" applyAlignment="1">
      <alignment horizontal="center" wrapText="1"/>
    </xf>
    <xf numFmtId="0" fontId="28" fillId="0" borderId="96" xfId="0" applyFont="1" applyBorder="1" applyAlignment="1">
      <alignment horizontal="center" wrapText="1"/>
    </xf>
    <xf numFmtId="0" fontId="28" fillId="0" borderId="95" xfId="0" applyFont="1" applyBorder="1" applyAlignment="1">
      <alignment horizontal="center" wrapText="1"/>
    </xf>
    <xf numFmtId="0" fontId="28" fillId="0" borderId="97" xfId="0" applyFont="1" applyBorder="1" applyAlignment="1">
      <alignment horizontal="center" wrapText="1"/>
    </xf>
    <xf numFmtId="0" fontId="28" fillId="0" borderId="71" xfId="0" applyFont="1" applyBorder="1" applyAlignment="1">
      <alignment horizontal="left" vertical="top" wrapText="1"/>
    </xf>
    <xf numFmtId="0" fontId="28" fillId="0" borderId="70" xfId="0" applyFont="1" applyBorder="1" applyAlignment="1">
      <alignment horizontal="left" vertical="top" wrapText="1"/>
    </xf>
    <xf numFmtId="0" fontId="28" fillId="0" borderId="93" xfId="0" applyFont="1" applyBorder="1" applyAlignment="1">
      <alignment horizontal="left" vertical="top" wrapText="1"/>
    </xf>
    <xf numFmtId="0" fontId="28" fillId="0" borderId="98" xfId="0" applyFont="1" applyBorder="1" applyAlignment="1">
      <alignment horizontal="center" wrapText="1"/>
    </xf>
    <xf numFmtId="0" fontId="42" fillId="0" borderId="1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3" xfId="0" applyFont="1" applyBorder="1" applyAlignment="1">
      <alignment horizontal="center" vertical="center" wrapText="1"/>
    </xf>
    <xf numFmtId="0" fontId="29" fillId="0" borderId="22" xfId="0" applyFont="1" applyBorder="1" applyAlignment="1">
      <alignment horizontal="left" vertical="center"/>
    </xf>
    <xf numFmtId="0" fontId="29" fillId="0" borderId="23" xfId="0" applyFont="1" applyBorder="1" applyAlignment="1">
      <alignment horizontal="left" vertical="center"/>
    </xf>
    <xf numFmtId="0" fontId="29" fillId="0" borderId="90" xfId="0" applyFont="1" applyBorder="1" applyAlignment="1">
      <alignment horizontal="left" vertical="center"/>
    </xf>
    <xf numFmtId="0" fontId="40" fillId="0" borderId="10" xfId="0" applyFont="1" applyBorder="1" applyAlignment="1">
      <alignment horizontal="center" vertical="center"/>
    </xf>
    <xf numFmtId="0" fontId="40" fillId="0" borderId="11" xfId="0" applyFont="1" applyBorder="1" applyAlignment="1">
      <alignment horizontal="center" vertical="center"/>
    </xf>
    <xf numFmtId="0" fontId="21" fillId="0" borderId="22" xfId="0" applyFont="1" applyBorder="1" applyAlignment="1">
      <alignment horizontal="center" vertical="center"/>
    </xf>
    <xf numFmtId="0" fontId="21" fillId="0" borderId="24" xfId="0" applyFont="1" applyBorder="1" applyAlignment="1">
      <alignment horizontal="center" vertical="center"/>
    </xf>
    <xf numFmtId="0" fontId="28" fillId="0" borderId="71" xfId="0" applyFont="1" applyBorder="1" applyAlignment="1">
      <alignment horizontal="center" vertical="center" wrapText="1"/>
    </xf>
    <xf numFmtId="0" fontId="28" fillId="0" borderId="70" xfId="0" applyFont="1" applyBorder="1" applyAlignment="1">
      <alignment horizontal="center" vertical="center" wrapText="1"/>
    </xf>
    <xf numFmtId="0" fontId="43" fillId="5" borderId="1" xfId="0" applyFont="1" applyFill="1" applyBorder="1" applyAlignment="1" applyProtection="1">
      <alignment horizontal="center" vertical="center"/>
      <protection locked="0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3" fillId="5" borderId="1" xfId="0" applyFont="1" applyFill="1" applyBorder="1" applyAlignment="1" applyProtection="1">
      <alignment horizontal="center" vertical="center" wrapText="1"/>
      <protection locked="0"/>
    </xf>
    <xf numFmtId="0" fontId="43" fillId="5" borderId="4" xfId="0" applyFont="1" applyFill="1" applyBorder="1" applyAlignment="1" applyProtection="1">
      <alignment horizontal="center" vertical="center" wrapText="1"/>
      <protection locked="0"/>
    </xf>
    <xf numFmtId="0" fontId="43" fillId="5" borderId="5" xfId="0" applyFont="1" applyFill="1" applyBorder="1" applyAlignment="1" applyProtection="1">
      <alignment horizontal="center" vertical="center" wrapText="1"/>
      <protection locked="0"/>
    </xf>
    <xf numFmtId="0" fontId="21" fillId="0" borderId="12" xfId="0" applyFont="1" applyBorder="1" applyAlignment="1">
      <alignment horizontal="left" vertical="center"/>
    </xf>
    <xf numFmtId="0" fontId="21" fillId="0" borderId="1" xfId="0" applyFont="1" applyBorder="1" applyAlignment="1">
      <alignment horizontal="left" vertical="center"/>
    </xf>
    <xf numFmtId="0" fontId="21" fillId="0" borderId="13" xfId="0" applyFont="1" applyBorder="1" applyAlignment="1">
      <alignment horizontal="left"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left" vertical="center"/>
    </xf>
    <xf numFmtId="0" fontId="21" fillId="0" borderId="25" xfId="0" applyFont="1" applyBorder="1" applyAlignment="1">
      <alignment horizontal="left" vertical="center"/>
    </xf>
    <xf numFmtId="0" fontId="28" fillId="0" borderId="20" xfId="0" applyFont="1" applyBorder="1" applyAlignment="1">
      <alignment horizontal="center" vertical="center" wrapText="1"/>
    </xf>
    <xf numFmtId="0" fontId="28" fillId="0" borderId="25" xfId="0" applyFont="1" applyBorder="1" applyAlignment="1">
      <alignment horizontal="center" vertical="center" wrapText="1"/>
    </xf>
    <xf numFmtId="0" fontId="28" fillId="0" borderId="12" xfId="0" applyFont="1" applyBorder="1" applyAlignment="1">
      <alignment horizontal="center" vertical="center" wrapText="1"/>
    </xf>
    <xf numFmtId="0" fontId="43" fillId="5" borderId="69" xfId="0" applyFont="1" applyFill="1" applyBorder="1" applyAlignment="1" applyProtection="1">
      <alignment horizontal="center" vertical="center"/>
      <protection locked="0"/>
    </xf>
    <xf numFmtId="0" fontId="43" fillId="5" borderId="2" xfId="0" applyFont="1" applyFill="1" applyBorder="1" applyAlignment="1" applyProtection="1">
      <alignment horizontal="center" vertical="center"/>
      <protection locked="0"/>
    </xf>
    <xf numFmtId="0" fontId="43" fillId="5" borderId="3" xfId="0" applyFont="1" applyFill="1" applyBorder="1" applyAlignment="1" applyProtection="1">
      <alignment horizontal="center" vertical="center"/>
      <protection locked="0"/>
    </xf>
    <xf numFmtId="0" fontId="43" fillId="7" borderId="4" xfId="0" applyFont="1" applyFill="1" applyBorder="1" applyAlignment="1" applyProtection="1">
      <alignment horizontal="center" vertical="center" wrapText="1"/>
      <protection locked="0"/>
    </xf>
    <xf numFmtId="0" fontId="43" fillId="7" borderId="68" xfId="0" applyFont="1" applyFill="1" applyBorder="1" applyAlignment="1" applyProtection="1">
      <alignment horizontal="center" vertical="center" wrapText="1"/>
      <protection locked="0"/>
    </xf>
    <xf numFmtId="0" fontId="43" fillId="7" borderId="5" xfId="0" applyFont="1" applyFill="1" applyBorder="1" applyAlignment="1" applyProtection="1">
      <alignment horizontal="center" vertical="center" wrapText="1"/>
      <protection locked="0"/>
    </xf>
    <xf numFmtId="0" fontId="43" fillId="5" borderId="68" xfId="0" applyFont="1" applyFill="1" applyBorder="1" applyAlignment="1" applyProtection="1">
      <alignment horizontal="center" vertical="center" wrapText="1"/>
      <protection locked="0"/>
    </xf>
    <xf numFmtId="0" fontId="12" fillId="7" borderId="4" xfId="0" applyFont="1" applyFill="1" applyBorder="1" applyAlignment="1" applyProtection="1">
      <alignment horizontal="center" vertical="center" wrapText="1"/>
      <protection locked="0"/>
    </xf>
    <xf numFmtId="0" fontId="12" fillId="7" borderId="68" xfId="0" applyFont="1" applyFill="1" applyBorder="1" applyAlignment="1" applyProtection="1">
      <alignment horizontal="center" vertical="center" wrapText="1"/>
      <protection locked="0"/>
    </xf>
    <xf numFmtId="0" fontId="12" fillId="7" borderId="5" xfId="0" applyFont="1" applyFill="1" applyBorder="1" applyAlignment="1" applyProtection="1">
      <alignment horizontal="center" vertical="center" wrapText="1"/>
      <protection locked="0"/>
    </xf>
    <xf numFmtId="0" fontId="38" fillId="0" borderId="91" xfId="0" applyFont="1" applyBorder="1" applyAlignment="1">
      <alignment horizontal="left" vertical="top" wrapText="1"/>
    </xf>
    <xf numFmtId="0" fontId="38" fillId="0" borderId="101" xfId="0" applyFont="1" applyBorder="1" applyAlignment="1">
      <alignment horizontal="left" vertical="top" wrapText="1"/>
    </xf>
    <xf numFmtId="0" fontId="38" fillId="0" borderId="94" xfId="0" applyFont="1" applyBorder="1" applyAlignment="1">
      <alignment horizontal="left" vertical="top" wrapText="1"/>
    </xf>
    <xf numFmtId="0" fontId="38" fillId="0" borderId="98" xfId="0" applyFont="1" applyBorder="1" applyAlignment="1">
      <alignment horizontal="left" vertical="top" wrapText="1"/>
    </xf>
    <xf numFmtId="0" fontId="37" fillId="0" borderId="0" xfId="0" applyFont="1" applyAlignment="1">
      <alignment horizontal="center" wrapText="1"/>
    </xf>
    <xf numFmtId="0" fontId="38" fillId="0" borderId="0" xfId="0" applyFont="1" applyAlignment="1">
      <alignment horizontal="center" wrapText="1"/>
    </xf>
    <xf numFmtId="0" fontId="38" fillId="0" borderId="0" xfId="0" applyFont="1" applyAlignment="1">
      <alignment horizontal="center" vertical="center" wrapText="1"/>
    </xf>
    <xf numFmtId="0" fontId="30" fillId="0" borderId="0" xfId="0" applyFont="1" applyAlignment="1">
      <alignment horizontal="center" wrapText="1"/>
    </xf>
  </cellXfs>
  <cellStyles count="12">
    <cellStyle name="Excel Built-in Comma 1" xfId="6" xr:uid="{DB786C6B-0CBC-4EBB-9A79-8558EA4B7E59}"/>
    <cellStyle name="Excel Built-in Normal" xfId="5" xr:uid="{610C0BD8-EE4E-4841-BFCE-548501BC0976}"/>
    <cellStyle name="Hiperlink" xfId="11" builtinId="8"/>
    <cellStyle name="Moeda" xfId="2" builtinId="4"/>
    <cellStyle name="Normal" xfId="0" builtinId="0"/>
    <cellStyle name="Normal 2" xfId="3" xr:uid="{0FB13856-DE8D-48A6-86A4-7D53F015CA13}"/>
    <cellStyle name="Normal 3" xfId="7" xr:uid="{DF5073F5-31A4-4233-88D4-AF02177D1D97}"/>
    <cellStyle name="Normal 4" xfId="10" xr:uid="{8A3CA4B0-722D-4592-8CAC-4D27FD8C8273}"/>
    <cellStyle name="Porcentagem" xfId="8" builtinId="5"/>
    <cellStyle name="Porcentagem 2" xfId="9" xr:uid="{97B6EB2E-AC53-4679-9BC1-62E57F6F2626}"/>
    <cellStyle name="Vírgula" xfId="1" builtinId="3"/>
    <cellStyle name="Vírgula 2" xfId="4" xr:uid="{BBC65884-FEDC-4689-A7FD-63D6A9193B4E}"/>
  </cellStyles>
  <dxfs count="8">
    <dxf>
      <font>
        <color theme="0"/>
      </font>
      <fill>
        <patternFill>
          <bgColor theme="4"/>
        </patternFill>
      </fill>
    </dxf>
    <dxf>
      <font>
        <color theme="0"/>
      </font>
      <fill>
        <patternFill>
          <bgColor theme="4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rgb="FFDBE5F1"/>
          <bgColor rgb="FFDBE5F1"/>
        </patternFill>
      </fill>
    </dxf>
    <dxf>
      <fill>
        <patternFill patternType="solid">
          <fgColor rgb="FFB8CCE4"/>
          <bgColor rgb="FFB8CCE4"/>
        </patternFill>
      </fill>
    </dxf>
    <dxf>
      <fill>
        <patternFill patternType="solid">
          <fgColor theme="0"/>
          <bgColor theme="0"/>
        </patternFill>
      </fill>
    </dxf>
    <dxf>
      <fill>
        <patternFill patternType="solid">
          <fgColor theme="4"/>
          <bgColor theme="4"/>
        </patternFill>
      </fill>
    </dxf>
  </dxfs>
  <tableStyles count="1" defaultTableStyle="TableStyleMedium2" defaultPivotStyle="PivotStyleLight16">
    <tableStyle name="Cotação Aero+MM-style" pivot="0" count="6" xr9:uid="{8AEABE84-05F0-40A1-8F2C-3B6887184114}">
      <tableStyleElement type="headerRow" dxfId="7"/>
      <tableStyleElement type="totalRow" dxfId="6"/>
      <tableStyleElement type="firstRowStripe" dxfId="5"/>
      <tableStyleElement type="secondRowStripe" dxfId="4"/>
      <tableStyleElement type="firstColumnStripe" dxfId="3"/>
      <tableStyleElement type="secondColumnStripe" dxfId="2"/>
    </tableStyle>
  </tableStyles>
  <colors>
    <mruColors>
      <color rgb="FFFF656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3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image" Target="../media/image3.jp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133350</xdr:rowOff>
    </xdr:from>
    <xdr:to>
      <xdr:col>2</xdr:col>
      <xdr:colOff>15510</xdr:colOff>
      <xdr:row>0</xdr:row>
      <xdr:rowOff>895350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04F62B55-AD19-42D9-8A9B-D9CAED87456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6275" y="133350"/>
          <a:ext cx="1406160" cy="7620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261938</xdr:colOff>
      <xdr:row>0</xdr:row>
      <xdr:rowOff>238125</xdr:rowOff>
    </xdr:from>
    <xdr:to>
      <xdr:col>2</xdr:col>
      <xdr:colOff>315479</xdr:colOff>
      <xdr:row>0</xdr:row>
      <xdr:rowOff>1066696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078E0AF-1D5B-4A51-892D-C1200235E0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1938" y="238125"/>
          <a:ext cx="1541822" cy="828571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76200</xdr:colOff>
      <xdr:row>0</xdr:row>
      <xdr:rowOff>159544</xdr:rowOff>
    </xdr:from>
    <xdr:to>
      <xdr:col>2</xdr:col>
      <xdr:colOff>10678</xdr:colOff>
      <xdr:row>0</xdr:row>
      <xdr:rowOff>988115</xdr:rowOff>
    </xdr:to>
    <xdr:pic>
      <xdr:nvPicPr>
        <xdr:cNvPr id="4" name="Imagem 3">
          <a:extLst>
            <a:ext uri="{FF2B5EF4-FFF2-40B4-BE49-F238E27FC236}">
              <a16:creationId xmlns:a16="http://schemas.microsoft.com/office/drawing/2014/main" id="{39252199-B20C-4E72-B214-1715C05B52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76200" y="159544"/>
          <a:ext cx="1541822" cy="82857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142875</xdr:colOff>
      <xdr:row>0</xdr:row>
      <xdr:rowOff>76198</xdr:rowOff>
    </xdr:from>
    <xdr:to>
      <xdr:col>1</xdr:col>
      <xdr:colOff>2124075</xdr:colOff>
      <xdr:row>0</xdr:row>
      <xdr:rowOff>723899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1E2C68F6-9F71-4D87-BECE-51E4F7CFB1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2875" y="76198"/>
          <a:ext cx="2952750" cy="647701"/>
        </a:xfrm>
        <a:prstGeom prst="rect">
          <a:avLst/>
        </a:prstGeom>
      </xdr:spPr>
    </xdr:pic>
    <xdr:clientData/>
  </xdr:twoCellAnchor>
  <xdr:twoCellAnchor editAs="oneCell">
    <xdr:from>
      <xdr:col>24</xdr:col>
      <xdr:colOff>551954</xdr:colOff>
      <xdr:row>0</xdr:row>
      <xdr:rowOff>0</xdr:rowOff>
    </xdr:from>
    <xdr:to>
      <xdr:col>27</xdr:col>
      <xdr:colOff>400050</xdr:colOff>
      <xdr:row>1</xdr:row>
      <xdr:rowOff>194067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336A60AC-4284-4904-8312-5AF9697E2F4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26774279" y="0"/>
          <a:ext cx="1676896" cy="1022742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242048</xdr:colOff>
      <xdr:row>0</xdr:row>
      <xdr:rowOff>107576</xdr:rowOff>
    </xdr:from>
    <xdr:to>
      <xdr:col>2</xdr:col>
      <xdr:colOff>2457675</xdr:colOff>
      <xdr:row>3</xdr:row>
      <xdr:rowOff>107190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5CDEF555-E833-4DBC-A9DA-6FDD6E24DAB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471148" y="107576"/>
          <a:ext cx="4027058" cy="57111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13.bin"/></Relationships>
</file>

<file path=xl/worksheets/_rels/sheet16.xml.rels><?xml version="1.0" encoding="UTF-8" standalone="yes"?>
<Relationships xmlns="http://schemas.openxmlformats.org/package/2006/relationships"><Relationship Id="rId8" Type="http://schemas.openxmlformats.org/officeDocument/2006/relationships/hyperlink" Target="mailto:comercial@planservi.com.br" TargetMode="External"/><Relationship Id="rId13" Type="http://schemas.openxmlformats.org/officeDocument/2006/relationships/hyperlink" Target="mailto:ste@stesa.com.br" TargetMode="External"/><Relationship Id="rId18" Type="http://schemas.openxmlformats.org/officeDocument/2006/relationships/drawing" Target="../drawings/drawing5.xml"/><Relationship Id="rId3" Type="http://schemas.openxmlformats.org/officeDocument/2006/relationships/hyperlink" Target="mailto:pavesys@pavesys.com.br" TargetMode="External"/><Relationship Id="rId7" Type="http://schemas.openxmlformats.org/officeDocument/2006/relationships/hyperlink" Target="mailto:comercial@afirma.eng.br" TargetMode="External"/><Relationship Id="rId12" Type="http://schemas.openxmlformats.org/officeDocument/2006/relationships/hyperlink" Target="mailto:contato@magnaeng.com.br" TargetMode="External"/><Relationship Id="rId17" Type="http://schemas.openxmlformats.org/officeDocument/2006/relationships/printerSettings" Target="../printerSettings/printerSettings14.bin"/><Relationship Id="rId2" Type="http://schemas.openxmlformats.org/officeDocument/2006/relationships/hyperlink" Target="mailto:contato@dynatest.com.br" TargetMode="External"/><Relationship Id="rId16" Type="http://schemas.openxmlformats.org/officeDocument/2006/relationships/hyperlink" Target="mailto:bruno.siqueria@altaempresas.com.br" TargetMode="External"/><Relationship Id="rId1" Type="http://schemas.openxmlformats.org/officeDocument/2006/relationships/hyperlink" Target="mailto:prosul@prosul.com/do@prosul.com" TargetMode="External"/><Relationship Id="rId6" Type="http://schemas.openxmlformats.org/officeDocument/2006/relationships/hyperlink" Target="mailto:engenharia@copavel.com.br" TargetMode="External"/><Relationship Id="rId11" Type="http://schemas.openxmlformats.org/officeDocument/2006/relationships/hyperlink" Target="mailto:incorp@incorpconsultoria.com.br" TargetMode="External"/><Relationship Id="rId5" Type="http://schemas.openxmlformats.org/officeDocument/2006/relationships/hyperlink" Target="mailto:contato@rrunner.com.br" TargetMode="External"/><Relationship Id="rId15" Type="http://schemas.openxmlformats.org/officeDocument/2006/relationships/hyperlink" Target="mailto:iuri.lara@consultraffic.com.br" TargetMode="External"/><Relationship Id="rId10" Type="http://schemas.openxmlformats.org/officeDocument/2006/relationships/hyperlink" Target="mailto:enecon.poa@enecon.com.br" TargetMode="External"/><Relationship Id="rId4" Type="http://schemas.openxmlformats.org/officeDocument/2006/relationships/hyperlink" Target="mailto:atendimento@srengenharia.net" TargetMode="External"/><Relationship Id="rId9" Type="http://schemas.openxmlformats.org/officeDocument/2006/relationships/hyperlink" Target="mailto:contato@engespa.com.br" TargetMode="External"/><Relationship Id="rId14" Type="http://schemas.openxmlformats.org/officeDocument/2006/relationships/hyperlink" Target="mailto:geral@future.atp.eng.br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FAABBD7-C273-40A4-9958-0046647B193E}">
  <sheetPr>
    <tabColor theme="4" tint="-0.249977111117893"/>
  </sheetPr>
  <dimension ref="A1:O56"/>
  <sheetViews>
    <sheetView tabSelected="1" zoomScale="80" zoomScaleNormal="80" workbookViewId="0">
      <selection activeCell="J4" sqref="J4"/>
    </sheetView>
  </sheetViews>
  <sheetFormatPr defaultRowHeight="14.25"/>
  <cols>
    <col min="1" max="1" width="11.140625" style="196" customWidth="1"/>
    <col min="2" max="2" width="10.7109375" style="196" customWidth="1"/>
    <col min="3" max="3" width="105.28515625" style="259" customWidth="1"/>
    <col min="4" max="4" width="13" style="196" customWidth="1"/>
    <col min="5" max="5" width="17.28515625" style="196" customWidth="1"/>
    <col min="6" max="6" width="19.28515625" style="196" customWidth="1"/>
    <col min="7" max="7" width="19.140625" style="196" bestFit="1" customWidth="1"/>
    <col min="8" max="8" width="13.85546875" style="196" bestFit="1" customWidth="1"/>
    <col min="9" max="9" width="16.140625" style="196" bestFit="1" customWidth="1"/>
    <col min="10" max="16384" width="9.140625" style="196"/>
  </cols>
  <sheetData>
    <row r="1" spans="1:15" ht="91.5" customHeight="1">
      <c r="A1" s="311" t="s">
        <v>484</v>
      </c>
      <c r="B1" s="312"/>
      <c r="C1" s="312"/>
      <c r="D1" s="185" t="s">
        <v>674</v>
      </c>
      <c r="E1" s="305" t="s">
        <v>676</v>
      </c>
      <c r="F1" s="305"/>
      <c r="G1" s="212">
        <f>'Mapa de Cotação - FWD, IRI, LVC'!Q5+'Mapa de Cotação - FWD, IRI, LVC'!Q6</f>
        <v>1202.8</v>
      </c>
    </row>
    <row r="2" spans="1:15" ht="42" customHeight="1" thickBot="1">
      <c r="A2" s="313"/>
      <c r="B2" s="314"/>
      <c r="C2" s="314"/>
      <c r="D2" s="209" t="s">
        <v>675</v>
      </c>
      <c r="E2" s="306" t="s">
        <v>671</v>
      </c>
      <c r="F2" s="306"/>
      <c r="G2" s="213">
        <f>'Mapa de Cotação - FWD, IRI, LVC'!Q7</f>
        <v>680.6</v>
      </c>
    </row>
    <row r="3" spans="1:15" s="197" customFormat="1" ht="30" customHeight="1" thickBot="1">
      <c r="A3" s="309" t="s">
        <v>357</v>
      </c>
      <c r="B3" s="310"/>
      <c r="C3" s="307" t="s">
        <v>358</v>
      </c>
      <c r="D3" s="307"/>
      <c r="E3" s="307"/>
      <c r="F3" s="307"/>
      <c r="G3" s="308"/>
      <c r="H3" s="196"/>
      <c r="I3" s="196"/>
      <c r="J3" s="196"/>
      <c r="K3" s="196"/>
    </row>
    <row r="4" spans="1:15" s="197" customFormat="1" ht="30" customHeight="1">
      <c r="A4" s="210"/>
      <c r="B4" s="210"/>
      <c r="C4" s="252"/>
      <c r="D4" s="211"/>
      <c r="E4" s="211"/>
      <c r="F4" s="211"/>
      <c r="G4" s="211"/>
      <c r="H4" s="196"/>
      <c r="I4" s="196"/>
      <c r="J4" s="196"/>
      <c r="K4" s="196"/>
    </row>
    <row r="5" spans="1:15" ht="39.75" customHeight="1">
      <c r="A5" s="198" t="s">
        <v>325</v>
      </c>
      <c r="B5" s="198" t="s">
        <v>378</v>
      </c>
      <c r="C5" s="199" t="s">
        <v>680</v>
      </c>
      <c r="D5" s="199" t="s">
        <v>491</v>
      </c>
      <c r="E5" s="199" t="s">
        <v>492</v>
      </c>
      <c r="F5" s="199" t="s">
        <v>493</v>
      </c>
      <c r="G5" s="199" t="s">
        <v>346</v>
      </c>
      <c r="O5" s="196" t="str">
        <f t="shared" ref="O5" si="0">UPPER(H5)</f>
        <v/>
      </c>
    </row>
    <row r="6" spans="1:15" ht="25.5" customHeight="1">
      <c r="A6" s="214"/>
      <c r="B6" s="215">
        <v>1</v>
      </c>
      <c r="C6" s="301" t="s">
        <v>380</v>
      </c>
      <c r="D6" s="301"/>
      <c r="E6" s="301"/>
      <c r="F6" s="301"/>
      <c r="G6" s="301"/>
    </row>
    <row r="7" spans="1:15" ht="25.5" customHeight="1">
      <c r="A7" s="299" t="s">
        <v>619</v>
      </c>
      <c r="B7" s="201" t="s">
        <v>387</v>
      </c>
      <c r="C7" s="253" t="s">
        <v>443</v>
      </c>
      <c r="D7" s="203" t="s">
        <v>379</v>
      </c>
      <c r="E7" s="203">
        <v>4</v>
      </c>
      <c r="F7" s="204">
        <f>'CPU_1.1, 1.2 e 1.3'!F54</f>
        <v>21108.720087583766</v>
      </c>
      <c r="G7" s="204">
        <f>F7*E7</f>
        <v>84434.880350335065</v>
      </c>
    </row>
    <row r="8" spans="1:15" ht="25.5" customHeight="1">
      <c r="A8" s="300"/>
      <c r="B8" s="201" t="s">
        <v>388</v>
      </c>
      <c r="C8" s="254" t="s">
        <v>444</v>
      </c>
      <c r="D8" s="203" t="s">
        <v>379</v>
      </c>
      <c r="E8" s="201">
        <v>4</v>
      </c>
      <c r="F8" s="205">
        <f>'CPU_1.1, 1.2 e 1.3'!L54</f>
        <v>21108.720087583766</v>
      </c>
      <c r="G8" s="204">
        <f>F8*E8</f>
        <v>84434.880350335065</v>
      </c>
    </row>
    <row r="9" spans="1:15" ht="25.5" customHeight="1">
      <c r="A9" s="200" t="s">
        <v>620</v>
      </c>
      <c r="B9" s="201" t="s">
        <v>629</v>
      </c>
      <c r="C9" s="254" t="s">
        <v>672</v>
      </c>
      <c r="D9" s="203" t="s">
        <v>379</v>
      </c>
      <c r="E9" s="201">
        <v>4</v>
      </c>
      <c r="F9" s="205">
        <f>'CPU_1.1, 1.2 e 1.3'!F74</f>
        <v>21108.720087583766</v>
      </c>
      <c r="G9" s="204">
        <f>F9*E9</f>
        <v>84434.880350335065</v>
      </c>
    </row>
    <row r="10" spans="1:15" ht="25.5" customHeight="1">
      <c r="A10" s="299" t="s">
        <v>673</v>
      </c>
      <c r="B10" s="303" t="s">
        <v>421</v>
      </c>
      <c r="C10" s="303"/>
      <c r="D10" s="303"/>
      <c r="E10" s="303"/>
      <c r="F10" s="303"/>
      <c r="G10" s="303"/>
    </row>
    <row r="11" spans="1:15" ht="25.5" customHeight="1">
      <c r="A11" s="315"/>
      <c r="B11" s="200">
        <v>2</v>
      </c>
      <c r="C11" s="301" t="s">
        <v>381</v>
      </c>
      <c r="D11" s="301"/>
      <c r="E11" s="301"/>
      <c r="F11" s="301"/>
      <c r="G11" s="301"/>
    </row>
    <row r="12" spans="1:15" ht="33" customHeight="1">
      <c r="A12" s="315"/>
      <c r="B12" s="201" t="s">
        <v>389</v>
      </c>
      <c r="C12" s="255" t="s">
        <v>376</v>
      </c>
      <c r="D12" s="203" t="s">
        <v>379</v>
      </c>
      <c r="E12" s="206">
        <v>12</v>
      </c>
      <c r="F12" s="204">
        <f>'CPU_2.1, 8.1 e 14.1'!F55</f>
        <v>137115.40085224653</v>
      </c>
      <c r="G12" s="204">
        <f>F12*E12</f>
        <v>1645384.8102269582</v>
      </c>
    </row>
    <row r="13" spans="1:15" ht="33" customHeight="1">
      <c r="A13" s="315"/>
      <c r="B13" s="200">
        <v>3</v>
      </c>
      <c r="C13" s="301" t="s">
        <v>382</v>
      </c>
      <c r="D13" s="301"/>
      <c r="E13" s="301"/>
      <c r="F13" s="301"/>
      <c r="G13" s="301"/>
    </row>
    <row r="14" spans="1:15" ht="33" customHeight="1">
      <c r="A14" s="315"/>
      <c r="B14" s="201" t="s">
        <v>390</v>
      </c>
      <c r="C14" s="255" t="s">
        <v>371</v>
      </c>
      <c r="D14" s="206" t="s">
        <v>379</v>
      </c>
      <c r="E14" s="207">
        <v>1</v>
      </c>
      <c r="F14" s="204">
        <f>'CPU_3.1, 9.1 e 15.1'!F68</f>
        <v>640890.23700650991</v>
      </c>
      <c r="G14" s="204">
        <f>F14*E14</f>
        <v>640890.23700650991</v>
      </c>
    </row>
    <row r="15" spans="1:15" ht="33" customHeight="1">
      <c r="A15" s="315"/>
      <c r="B15" s="200">
        <v>4</v>
      </c>
      <c r="C15" s="301" t="s">
        <v>383</v>
      </c>
      <c r="D15" s="301"/>
      <c r="E15" s="301"/>
      <c r="F15" s="301"/>
      <c r="G15" s="301"/>
    </row>
    <row r="16" spans="1:15" ht="33" customHeight="1">
      <c r="A16" s="315"/>
      <c r="B16" s="201" t="s">
        <v>391</v>
      </c>
      <c r="C16" s="255" t="s">
        <v>372</v>
      </c>
      <c r="D16" s="203" t="s">
        <v>379</v>
      </c>
      <c r="E16" s="206">
        <v>1</v>
      </c>
      <c r="F16" s="205">
        <f>'CPU_4.1,10.1 e 16.1'!F56</f>
        <v>267101.3106290616</v>
      </c>
      <c r="G16" s="205">
        <f>F16*E16</f>
        <v>267101.3106290616</v>
      </c>
    </row>
    <row r="17" spans="1:7" ht="33" customHeight="1">
      <c r="A17" s="315"/>
      <c r="B17" s="200">
        <v>5</v>
      </c>
      <c r="C17" s="301" t="s">
        <v>384</v>
      </c>
      <c r="D17" s="301"/>
      <c r="E17" s="301"/>
      <c r="F17" s="301"/>
      <c r="G17" s="301"/>
    </row>
    <row r="18" spans="1:7" ht="33" customHeight="1">
      <c r="A18" s="315"/>
      <c r="B18" s="201" t="s">
        <v>392</v>
      </c>
      <c r="C18" s="255" t="s">
        <v>373</v>
      </c>
      <c r="D18" s="203" t="s">
        <v>379</v>
      </c>
      <c r="E18" s="206">
        <v>1</v>
      </c>
      <c r="F18" s="205">
        <f>'CPU_5.1, 11.1 e 17.1'!F56</f>
        <v>267101.3106290616</v>
      </c>
      <c r="G18" s="205">
        <f>F18*E18</f>
        <v>267101.3106290616</v>
      </c>
    </row>
    <row r="19" spans="1:7" ht="33" customHeight="1">
      <c r="A19" s="315"/>
      <c r="B19" s="200">
        <v>6</v>
      </c>
      <c r="C19" s="301" t="s">
        <v>385</v>
      </c>
      <c r="D19" s="301"/>
      <c r="E19" s="301"/>
      <c r="F19" s="301"/>
      <c r="G19" s="301"/>
    </row>
    <row r="20" spans="1:7" ht="33" customHeight="1">
      <c r="A20" s="315"/>
      <c r="B20" s="201" t="s">
        <v>393</v>
      </c>
      <c r="C20" s="256" t="s">
        <v>374</v>
      </c>
      <c r="D20" s="208" t="s">
        <v>379</v>
      </c>
      <c r="E20" s="208">
        <v>1</v>
      </c>
      <c r="F20" s="205">
        <f>'CPU_6.1, 12.1 e 18.1'!F52</f>
        <v>34278.850213061633</v>
      </c>
      <c r="G20" s="205">
        <f>F20*E20</f>
        <v>34278.850213061633</v>
      </c>
    </row>
    <row r="21" spans="1:7" ht="33" customHeight="1">
      <c r="A21" s="315"/>
      <c r="B21" s="200">
        <v>7</v>
      </c>
      <c r="C21" s="301" t="s">
        <v>386</v>
      </c>
      <c r="D21" s="301"/>
      <c r="E21" s="301"/>
      <c r="F21" s="301"/>
      <c r="G21" s="301"/>
    </row>
    <row r="22" spans="1:7" ht="33" customHeight="1">
      <c r="A22" s="315"/>
      <c r="B22" s="201" t="s">
        <v>394</v>
      </c>
      <c r="C22" s="255" t="s">
        <v>375</v>
      </c>
      <c r="D22" s="206" t="s">
        <v>379</v>
      </c>
      <c r="E22" s="206">
        <v>1</v>
      </c>
      <c r="F22" s="205">
        <f>'CPU_7.1, 13.1 e 19.1'!F53</f>
        <v>34278.850213061633</v>
      </c>
      <c r="G22" s="205">
        <f>F22*E22</f>
        <v>34278.850213061633</v>
      </c>
    </row>
    <row r="23" spans="1:7" ht="33" customHeight="1">
      <c r="A23" s="315"/>
      <c r="B23" s="303" t="s">
        <v>435</v>
      </c>
      <c r="C23" s="303"/>
      <c r="D23" s="303"/>
      <c r="E23" s="303"/>
      <c r="F23" s="303"/>
      <c r="G23" s="303"/>
    </row>
    <row r="24" spans="1:7" ht="33" customHeight="1">
      <c r="A24" s="315"/>
      <c r="B24" s="200">
        <v>8</v>
      </c>
      <c r="C24" s="301" t="s">
        <v>381</v>
      </c>
      <c r="D24" s="301"/>
      <c r="E24" s="301"/>
      <c r="F24" s="301"/>
      <c r="G24" s="301"/>
    </row>
    <row r="25" spans="1:7" ht="33" customHeight="1">
      <c r="A25" s="315"/>
      <c r="B25" s="201" t="s">
        <v>395</v>
      </c>
      <c r="C25" s="255" t="s">
        <v>376</v>
      </c>
      <c r="D25" s="203" t="s">
        <v>379</v>
      </c>
      <c r="E25" s="206">
        <v>12</v>
      </c>
      <c r="F25" s="204">
        <f>'CPU_2.1, 8.1 e 14.1'!L55</f>
        <v>246122.89657149767</v>
      </c>
      <c r="G25" s="204">
        <f>F25*E25</f>
        <v>2953474.758857972</v>
      </c>
    </row>
    <row r="26" spans="1:7" ht="33" customHeight="1">
      <c r="A26" s="315"/>
      <c r="B26" s="200">
        <v>9</v>
      </c>
      <c r="C26" s="301" t="s">
        <v>382</v>
      </c>
      <c r="D26" s="301"/>
      <c r="E26" s="301"/>
      <c r="F26" s="301"/>
      <c r="G26" s="301"/>
    </row>
    <row r="27" spans="1:7" ht="33" customHeight="1">
      <c r="A27" s="315"/>
      <c r="B27" s="201" t="s">
        <v>422</v>
      </c>
      <c r="C27" s="255" t="s">
        <v>371</v>
      </c>
      <c r="D27" s="206" t="s">
        <v>379</v>
      </c>
      <c r="E27" s="207">
        <v>1</v>
      </c>
      <c r="F27" s="204">
        <f>'CPU_3.1, 9.1 e 15.1'!L68</f>
        <v>833358.03592448751</v>
      </c>
      <c r="G27" s="204">
        <f t="shared" ref="G27" si="1">F27*E27</f>
        <v>833358.03592448751</v>
      </c>
    </row>
    <row r="28" spans="1:7" ht="33" customHeight="1">
      <c r="A28" s="315"/>
      <c r="B28" s="200">
        <v>10</v>
      </c>
      <c r="C28" s="301" t="s">
        <v>383</v>
      </c>
      <c r="D28" s="301"/>
      <c r="E28" s="301"/>
      <c r="F28" s="301"/>
      <c r="G28" s="301"/>
    </row>
    <row r="29" spans="1:7" ht="33" customHeight="1">
      <c r="A29" s="315"/>
      <c r="B29" s="201" t="s">
        <v>423</v>
      </c>
      <c r="C29" s="257" t="s">
        <v>372</v>
      </c>
      <c r="D29" s="203" t="s">
        <v>379</v>
      </c>
      <c r="E29" s="206">
        <v>1</v>
      </c>
      <c r="F29" s="205">
        <f>'CPU_4.1,10.1 e 16.1'!L56</f>
        <v>404031.75803625997</v>
      </c>
      <c r="G29" s="204">
        <f>F29*E29</f>
        <v>404031.75803625997</v>
      </c>
    </row>
    <row r="30" spans="1:7" ht="33" customHeight="1">
      <c r="A30" s="315"/>
      <c r="B30" s="200">
        <v>11</v>
      </c>
      <c r="C30" s="301" t="s">
        <v>384</v>
      </c>
      <c r="D30" s="301"/>
      <c r="E30" s="301"/>
      <c r="F30" s="301"/>
      <c r="G30" s="301"/>
    </row>
    <row r="31" spans="1:7" ht="33" customHeight="1">
      <c r="A31" s="315"/>
      <c r="B31" s="201" t="s">
        <v>424</v>
      </c>
      <c r="C31" s="257" t="s">
        <v>373</v>
      </c>
      <c r="D31" s="203" t="s">
        <v>379</v>
      </c>
      <c r="E31" s="206">
        <v>1</v>
      </c>
      <c r="F31" s="205">
        <f>'CPU_5.1, 11.1 e 17.1'!L56</f>
        <v>404031.75803625997</v>
      </c>
      <c r="G31" s="204">
        <f>F31*E31</f>
        <v>404031.75803625997</v>
      </c>
    </row>
    <row r="32" spans="1:7" ht="33" customHeight="1">
      <c r="A32" s="315"/>
      <c r="B32" s="200">
        <v>12</v>
      </c>
      <c r="C32" s="301" t="s">
        <v>385</v>
      </c>
      <c r="D32" s="301"/>
      <c r="E32" s="301"/>
      <c r="F32" s="301"/>
      <c r="G32" s="301"/>
    </row>
    <row r="33" spans="1:9" ht="33" customHeight="1">
      <c r="A33" s="315"/>
      <c r="B33" s="201" t="s">
        <v>425</v>
      </c>
      <c r="C33" s="258" t="s">
        <v>374</v>
      </c>
      <c r="D33" s="208" t="s">
        <v>379</v>
      </c>
      <c r="E33" s="208">
        <v>1</v>
      </c>
      <c r="F33" s="205">
        <f>'CPU_6.1, 12.1 e 18.1'!L52</f>
        <v>48439.470804259821</v>
      </c>
      <c r="G33" s="204">
        <f>F33*E33</f>
        <v>48439.470804259821</v>
      </c>
    </row>
    <row r="34" spans="1:9" ht="33" customHeight="1">
      <c r="A34" s="315"/>
      <c r="B34" s="200">
        <v>13</v>
      </c>
      <c r="C34" s="301" t="s">
        <v>386</v>
      </c>
      <c r="D34" s="301"/>
      <c r="E34" s="301"/>
      <c r="F34" s="301"/>
      <c r="G34" s="301"/>
    </row>
    <row r="35" spans="1:9" ht="33" customHeight="1">
      <c r="A35" s="315"/>
      <c r="B35" s="201" t="s">
        <v>426</v>
      </c>
      <c r="C35" s="257" t="s">
        <v>375</v>
      </c>
      <c r="D35" s="206" t="s">
        <v>379</v>
      </c>
      <c r="E35" s="206">
        <v>1</v>
      </c>
      <c r="F35" s="205">
        <f>'CPU_7.1, 13.1 e 19.1'!L53</f>
        <v>48439.470804259821</v>
      </c>
      <c r="G35" s="204">
        <f>F35*E35</f>
        <v>48439.470804259821</v>
      </c>
    </row>
    <row r="36" spans="1:9" ht="33" customHeight="1">
      <c r="A36" s="300"/>
      <c r="B36" s="302" t="s">
        <v>627</v>
      </c>
      <c r="C36" s="302"/>
      <c r="D36" s="302"/>
      <c r="E36" s="302"/>
      <c r="F36" s="302"/>
      <c r="G36" s="202">
        <f>G35+G33+G31+G29+G27+G25+G22+G20+G18+G16+G14+G12+G8+G7</f>
        <v>7749680.3820818849</v>
      </c>
      <c r="H36" s="227"/>
    </row>
    <row r="37" spans="1:9" ht="33" customHeight="1">
      <c r="A37" s="304" t="s">
        <v>620</v>
      </c>
      <c r="B37" s="303" t="s">
        <v>634</v>
      </c>
      <c r="C37" s="303"/>
      <c r="D37" s="303"/>
      <c r="E37" s="303"/>
      <c r="F37" s="303"/>
      <c r="G37" s="303"/>
      <c r="I37" s="227"/>
    </row>
    <row r="38" spans="1:9" ht="33" customHeight="1">
      <c r="A38" s="304"/>
      <c r="B38" s="200">
        <v>14</v>
      </c>
      <c r="C38" s="301" t="s">
        <v>381</v>
      </c>
      <c r="D38" s="301"/>
      <c r="E38" s="301"/>
      <c r="F38" s="301"/>
      <c r="G38" s="301"/>
    </row>
    <row r="39" spans="1:9" ht="33" customHeight="1">
      <c r="A39" s="304"/>
      <c r="B39" s="201" t="s">
        <v>621</v>
      </c>
      <c r="C39" s="255" t="s">
        <v>376</v>
      </c>
      <c r="D39" s="203" t="s">
        <v>379</v>
      </c>
      <c r="E39" s="206">
        <v>12</v>
      </c>
      <c r="F39" s="204">
        <f>'CPU_2.1, 8.1 e 14.1'!F77</f>
        <v>239936.15401302036</v>
      </c>
      <c r="G39" s="204">
        <f>F39*E39</f>
        <v>2879233.8481562445</v>
      </c>
    </row>
    <row r="40" spans="1:9" ht="33" customHeight="1">
      <c r="A40" s="304"/>
      <c r="B40" s="200">
        <v>15</v>
      </c>
      <c r="C40" s="301" t="s">
        <v>382</v>
      </c>
      <c r="D40" s="301"/>
      <c r="E40" s="301"/>
      <c r="F40" s="301"/>
      <c r="G40" s="301"/>
    </row>
    <row r="41" spans="1:9" ht="33" customHeight="1">
      <c r="A41" s="304"/>
      <c r="B41" s="201" t="s">
        <v>622</v>
      </c>
      <c r="C41" s="255" t="s">
        <v>371</v>
      </c>
      <c r="D41" s="206" t="s">
        <v>379</v>
      </c>
      <c r="E41" s="207">
        <v>1</v>
      </c>
      <c r="F41" s="204">
        <f>'CPU_3.1, 9.1 e 15.1'!F93</f>
        <v>980033.99432699359</v>
      </c>
      <c r="G41" s="204">
        <f t="shared" ref="G41" si="2">F41*E41</f>
        <v>980033.99432699359</v>
      </c>
    </row>
    <row r="42" spans="1:9" ht="33" customHeight="1">
      <c r="A42" s="304"/>
      <c r="B42" s="200">
        <v>16</v>
      </c>
      <c r="C42" s="301" t="s">
        <v>383</v>
      </c>
      <c r="D42" s="301"/>
      <c r="E42" s="301"/>
      <c r="F42" s="301"/>
      <c r="G42" s="301"/>
    </row>
    <row r="43" spans="1:9" ht="33" customHeight="1">
      <c r="A43" s="304"/>
      <c r="B43" s="201" t="s">
        <v>623</v>
      </c>
      <c r="C43" s="257" t="s">
        <v>372</v>
      </c>
      <c r="D43" s="203" t="s">
        <v>379</v>
      </c>
      <c r="E43" s="206">
        <v>1</v>
      </c>
      <c r="F43" s="205">
        <f>'CPU_4.1,10.1 e 16.1'!F78</f>
        <v>389688.78768493253</v>
      </c>
      <c r="G43" s="204">
        <f>F43*E43</f>
        <v>389688.78768493253</v>
      </c>
    </row>
    <row r="44" spans="1:9" ht="33" customHeight="1">
      <c r="A44" s="304"/>
      <c r="B44" s="200">
        <v>17</v>
      </c>
      <c r="C44" s="301" t="s">
        <v>384</v>
      </c>
      <c r="D44" s="301"/>
      <c r="E44" s="301"/>
      <c r="F44" s="301"/>
      <c r="G44" s="301"/>
    </row>
    <row r="45" spans="1:9" ht="33" customHeight="1">
      <c r="A45" s="304"/>
      <c r="B45" s="201" t="s">
        <v>624</v>
      </c>
      <c r="C45" s="257" t="s">
        <v>373</v>
      </c>
      <c r="D45" s="203" t="s">
        <v>379</v>
      </c>
      <c r="E45" s="206">
        <v>1</v>
      </c>
      <c r="F45" s="205">
        <f>'CPU_5.1, 11.1 e 17.1'!F78</f>
        <v>389077.74029903812</v>
      </c>
      <c r="G45" s="204">
        <f>F45*E45</f>
        <v>389077.74029903812</v>
      </c>
    </row>
    <row r="46" spans="1:9" ht="33" customHeight="1">
      <c r="A46" s="304"/>
      <c r="B46" s="200">
        <v>18</v>
      </c>
      <c r="C46" s="301" t="s">
        <v>385</v>
      </c>
      <c r="D46" s="301"/>
      <c r="E46" s="301"/>
      <c r="F46" s="301"/>
      <c r="G46" s="301"/>
    </row>
    <row r="47" spans="1:9" ht="33" customHeight="1">
      <c r="A47" s="304"/>
      <c r="B47" s="201" t="s">
        <v>625</v>
      </c>
      <c r="C47" s="258" t="s">
        <v>374</v>
      </c>
      <c r="D47" s="208" t="s">
        <v>379</v>
      </c>
      <c r="E47" s="208">
        <v>1</v>
      </c>
      <c r="F47" s="205">
        <f>'CPU_6.1, 12.1 e 18.1'!F73</f>
        <v>55985.102603038089</v>
      </c>
      <c r="G47" s="204">
        <f>F47*E47</f>
        <v>55985.102603038089</v>
      </c>
    </row>
    <row r="48" spans="1:9" ht="33" customHeight="1">
      <c r="A48" s="304"/>
      <c r="B48" s="200">
        <v>19</v>
      </c>
      <c r="C48" s="301" t="s">
        <v>386</v>
      </c>
      <c r="D48" s="301"/>
      <c r="E48" s="301"/>
      <c r="F48" s="301"/>
      <c r="G48" s="301"/>
    </row>
    <row r="49" spans="1:9" ht="33" customHeight="1">
      <c r="A49" s="304"/>
      <c r="B49" s="201" t="s">
        <v>626</v>
      </c>
      <c r="C49" s="257" t="s">
        <v>375</v>
      </c>
      <c r="D49" s="206" t="s">
        <v>379</v>
      </c>
      <c r="E49" s="206">
        <v>1</v>
      </c>
      <c r="F49" s="205">
        <f>'CPU_7.1, 13.1 e 19.1'!F74</f>
        <v>55985.102603038089</v>
      </c>
      <c r="G49" s="204">
        <f>F49*E49</f>
        <v>55985.102603038089</v>
      </c>
    </row>
    <row r="50" spans="1:9" ht="25.5" customHeight="1">
      <c r="A50" s="304"/>
      <c r="B50" s="302" t="s">
        <v>628</v>
      </c>
      <c r="C50" s="302"/>
      <c r="D50" s="302"/>
      <c r="E50" s="302"/>
      <c r="F50" s="302"/>
      <c r="G50" s="202">
        <f>G49+G47+G45+G43+G41+G39+G9</f>
        <v>4834439.4560236204</v>
      </c>
      <c r="H50" s="227"/>
      <c r="I50" s="227"/>
    </row>
    <row r="52" spans="1:9">
      <c r="G52" s="227"/>
    </row>
    <row r="54" spans="1:9">
      <c r="G54" s="227"/>
    </row>
    <row r="55" spans="1:9">
      <c r="G55" s="227"/>
    </row>
    <row r="56" spans="1:9">
      <c r="G56" s="227"/>
    </row>
  </sheetData>
  <mergeCells count="32">
    <mergeCell ref="E1:F1"/>
    <mergeCell ref="E2:F2"/>
    <mergeCell ref="C3:G3"/>
    <mergeCell ref="C19:G19"/>
    <mergeCell ref="B10:G10"/>
    <mergeCell ref="C6:G6"/>
    <mergeCell ref="C11:G11"/>
    <mergeCell ref="C13:G13"/>
    <mergeCell ref="C15:G15"/>
    <mergeCell ref="C17:G17"/>
    <mergeCell ref="A3:B3"/>
    <mergeCell ref="A1:C2"/>
    <mergeCell ref="A10:A36"/>
    <mergeCell ref="C32:G32"/>
    <mergeCell ref="C34:G34"/>
    <mergeCell ref="C21:G21"/>
    <mergeCell ref="A7:A8"/>
    <mergeCell ref="C46:G46"/>
    <mergeCell ref="C48:G48"/>
    <mergeCell ref="B50:F50"/>
    <mergeCell ref="B37:G37"/>
    <mergeCell ref="A37:A50"/>
    <mergeCell ref="C24:G24"/>
    <mergeCell ref="C26:G26"/>
    <mergeCell ref="C28:G28"/>
    <mergeCell ref="C30:G30"/>
    <mergeCell ref="B23:G23"/>
    <mergeCell ref="C38:G38"/>
    <mergeCell ref="C40:G40"/>
    <mergeCell ref="C42:G42"/>
    <mergeCell ref="C44:G44"/>
    <mergeCell ref="B36:F36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E7F62C2-2EDB-4CB7-88E0-F9687E629AE5}">
  <sheetPr>
    <tabColor theme="9"/>
  </sheetPr>
  <dimension ref="A1:N74"/>
  <sheetViews>
    <sheetView zoomScale="80" zoomScaleNormal="80" workbookViewId="0">
      <selection activeCell="L27" sqref="L27"/>
    </sheetView>
  </sheetViews>
  <sheetFormatPr defaultRowHeight="15"/>
  <cols>
    <col min="1" max="1" width="8.85546875" style="27" customWidth="1"/>
    <col min="2" max="2" width="42.5703125" style="27" customWidth="1"/>
    <col min="3" max="3" width="17.42578125" style="27" customWidth="1"/>
    <col min="4" max="4" width="23" style="27" customWidth="1"/>
    <col min="5" max="5" width="17.42578125" style="27" customWidth="1"/>
    <col min="6" max="7" width="15.42578125" style="27" customWidth="1"/>
    <col min="8" max="8" width="15" style="27" customWidth="1"/>
    <col min="9" max="9" width="21.85546875" style="27" customWidth="1"/>
    <col min="10" max="10" width="16.140625" style="27" customWidth="1"/>
    <col min="11" max="11" width="23" style="27" customWidth="1"/>
    <col min="12" max="12" width="20.28515625" style="27" customWidth="1"/>
    <col min="13" max="13" width="18.5703125" style="27" customWidth="1"/>
    <col min="14" max="14" width="9.140625" style="27"/>
    <col min="15" max="15" width="21.85546875" style="27" customWidth="1"/>
    <col min="16" max="16" width="13.5703125" style="27" customWidth="1"/>
    <col min="17" max="18" width="20.28515625" style="27" customWidth="1"/>
    <col min="19" max="19" width="18.5703125" style="27" customWidth="1"/>
    <col min="20" max="16384" width="9.140625" style="27"/>
  </cols>
  <sheetData>
    <row r="1" spans="1:13" ht="30.75" customHeight="1">
      <c r="A1" s="384" t="s">
        <v>396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</row>
    <row r="2" spans="1:13" ht="28.5" customHeight="1" thickBot="1">
      <c r="A2" s="409" t="s">
        <v>660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</row>
    <row r="3" spans="1:13">
      <c r="A3" s="386" t="s">
        <v>397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8"/>
    </row>
    <row r="4" spans="1:13" s="32" customFormat="1" ht="60">
      <c r="A4" s="155" t="s">
        <v>378</v>
      </c>
      <c r="B4" s="68" t="s">
        <v>306</v>
      </c>
      <c r="C4" s="68" t="s">
        <v>307</v>
      </c>
      <c r="D4" s="68" t="s">
        <v>377</v>
      </c>
      <c r="E4" s="68" t="s">
        <v>308</v>
      </c>
      <c r="F4" s="68" t="s">
        <v>309</v>
      </c>
      <c r="G4" s="68" t="s">
        <v>758</v>
      </c>
      <c r="H4" s="68" t="s">
        <v>310</v>
      </c>
      <c r="I4" s="68" t="s">
        <v>311</v>
      </c>
      <c r="J4" s="68" t="s">
        <v>312</v>
      </c>
      <c r="K4" s="68" t="s">
        <v>319</v>
      </c>
      <c r="L4" s="68" t="s">
        <v>320</v>
      </c>
      <c r="M4" s="72" t="s">
        <v>321</v>
      </c>
    </row>
    <row r="5" spans="1:13" ht="17.25">
      <c r="A5" s="389" t="s">
        <v>489</v>
      </c>
      <c r="B5" s="340" t="s">
        <v>313</v>
      </c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1"/>
    </row>
    <row r="6" spans="1:13" s="33" customFormat="1" ht="17.25">
      <c r="A6" s="389"/>
      <c r="B6" s="71" t="s">
        <v>608</v>
      </c>
      <c r="C6" s="156" t="s">
        <v>35</v>
      </c>
      <c r="D6" s="342">
        <v>1</v>
      </c>
      <c r="E6" s="156">
        <v>1</v>
      </c>
      <c r="F6" s="50">
        <f>15/30</f>
        <v>0.5</v>
      </c>
      <c r="G6" s="50">
        <f>D6*E6*F6*176</f>
        <v>88</v>
      </c>
      <c r="H6" s="36">
        <f>VLOOKUP(C6,'Tabela DNIT-Consult-MO'!$A:$D,4,FALSE)</f>
        <v>10864.39</v>
      </c>
      <c r="I6" s="36">
        <f>F6*H6*$D$6*E6</f>
        <v>5432.1949999999997</v>
      </c>
      <c r="J6" s="70">
        <f>VLOOKUP(C6,'Tabela DNIT-Consult-MO'!$A:$F,5,FALSE)</f>
        <v>0.80049999999999999</v>
      </c>
      <c r="K6" s="36">
        <f>H6*J6</f>
        <v>8696.944195</v>
      </c>
      <c r="L6" s="36">
        <f>I6*J6</f>
        <v>4348.4720975</v>
      </c>
      <c r="M6" s="37">
        <f>I6+L6</f>
        <v>9780.6670974999997</v>
      </c>
    </row>
    <row r="7" spans="1:13">
      <c r="A7" s="389"/>
      <c r="B7" s="69" t="s">
        <v>28</v>
      </c>
      <c r="C7" s="156" t="s">
        <v>29</v>
      </c>
      <c r="D7" s="342"/>
      <c r="E7" s="156">
        <v>1</v>
      </c>
      <c r="F7" s="50">
        <f t="shared" ref="F7" si="0">15/30</f>
        <v>0.5</v>
      </c>
      <c r="G7" s="50">
        <f>D6*E7*F7*176</f>
        <v>88</v>
      </c>
      <c r="H7" s="36">
        <f>VLOOKUP(C7,'Tabela DNIT-Consult-MO'!$A:$D,4,FALSE)</f>
        <v>2974.3</v>
      </c>
      <c r="I7" s="36">
        <f>F7*H7*$D$6*E7</f>
        <v>1487.15</v>
      </c>
      <c r="J7" s="70">
        <f>VLOOKUP(C7,'Tabela DNIT-Consult-MO'!$A:$F,5,FALSE)</f>
        <v>0.80400000000000005</v>
      </c>
      <c r="K7" s="36">
        <f>H7*J7</f>
        <v>2391.3372000000004</v>
      </c>
      <c r="L7" s="36">
        <f>I7*J7</f>
        <v>1195.6686000000002</v>
      </c>
      <c r="M7" s="37">
        <f>I7+L7</f>
        <v>2682.8186000000005</v>
      </c>
    </row>
    <row r="8" spans="1:13">
      <c r="A8" s="389"/>
      <c r="B8" s="343" t="s">
        <v>4</v>
      </c>
      <c r="C8" s="343"/>
      <c r="D8" s="343"/>
      <c r="E8" s="343"/>
      <c r="F8" s="343"/>
      <c r="G8" s="343"/>
      <c r="H8" s="343"/>
      <c r="I8" s="51">
        <f>SUM(I6:I7)</f>
        <v>6919.3449999999993</v>
      </c>
      <c r="J8" s="44"/>
      <c r="K8" s="44"/>
      <c r="L8" s="44"/>
      <c r="M8" s="41">
        <f>SUM(M6:M7)</f>
        <v>12463.4856975</v>
      </c>
    </row>
    <row r="9" spans="1:13" ht="17.25">
      <c r="A9" s="389"/>
      <c r="B9" s="340" t="s">
        <v>442</v>
      </c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1"/>
    </row>
    <row r="10" spans="1:13">
      <c r="A10" s="389"/>
      <c r="B10" s="71" t="s">
        <v>608</v>
      </c>
      <c r="C10" s="156" t="s">
        <v>35</v>
      </c>
      <c r="D10" s="342">
        <v>1</v>
      </c>
      <c r="E10" s="156">
        <v>1</v>
      </c>
      <c r="F10" s="50">
        <f>22.5/30</f>
        <v>0.75</v>
      </c>
      <c r="G10" s="50">
        <f>D10*E10*F10*176</f>
        <v>132</v>
      </c>
      <c r="H10" s="36">
        <f>VLOOKUP(C10,'Tabela DNIT-Consult-MO'!$A:$D,4,FALSE)</f>
        <v>10864.39</v>
      </c>
      <c r="I10" s="36">
        <f>F10*H10*$D$10*E10</f>
        <v>8148.2924999999996</v>
      </c>
      <c r="J10" s="70">
        <f>VLOOKUP(C10,'Tabela DNIT-Consult-MO'!$A:$F,5,FALSE)</f>
        <v>0.80049999999999999</v>
      </c>
      <c r="K10" s="36">
        <f>H10*J10</f>
        <v>8696.944195</v>
      </c>
      <c r="L10" s="36">
        <f>I10*J10</f>
        <v>6522.7081462499991</v>
      </c>
      <c r="M10" s="37">
        <f>I10+L10</f>
        <v>14671.000646249999</v>
      </c>
    </row>
    <row r="11" spans="1:13">
      <c r="A11" s="389"/>
      <c r="B11" s="69" t="s">
        <v>28</v>
      </c>
      <c r="C11" s="156" t="s">
        <v>29</v>
      </c>
      <c r="D11" s="342"/>
      <c r="E11" s="156">
        <v>1</v>
      </c>
      <c r="F11" s="50">
        <f t="shared" ref="F11" si="1">22.5/30</f>
        <v>0.75</v>
      </c>
      <c r="G11" s="50">
        <f>D10*E11*F11*176</f>
        <v>132</v>
      </c>
      <c r="H11" s="36">
        <f>VLOOKUP(C11,'Tabela DNIT-Consult-MO'!$A:$D,4,FALSE)</f>
        <v>2974.3</v>
      </c>
      <c r="I11" s="36">
        <f>F11*H11*$D$10*E11</f>
        <v>2230.7250000000004</v>
      </c>
      <c r="J11" s="70">
        <f>VLOOKUP(C11,'Tabela DNIT-Consult-MO'!$A:$F,5,FALSE)</f>
        <v>0.80400000000000005</v>
      </c>
      <c r="K11" s="36">
        <f>H11*J11</f>
        <v>2391.3372000000004</v>
      </c>
      <c r="L11" s="36">
        <f>I11*J11</f>
        <v>1793.5029000000004</v>
      </c>
      <c r="M11" s="37">
        <f>I11+L11</f>
        <v>4024.2279000000008</v>
      </c>
    </row>
    <row r="12" spans="1:13">
      <c r="A12" s="389"/>
      <c r="B12" s="343" t="s">
        <v>4</v>
      </c>
      <c r="C12" s="343"/>
      <c r="D12" s="343"/>
      <c r="E12" s="343"/>
      <c r="F12" s="343"/>
      <c r="G12" s="343"/>
      <c r="H12" s="343"/>
      <c r="I12" s="51">
        <f>SUM(I10:I11)</f>
        <v>10379.0175</v>
      </c>
      <c r="J12" s="44"/>
      <c r="K12" s="44"/>
      <c r="L12" s="44"/>
      <c r="M12" s="41">
        <f>SUM(M10:M11)</f>
        <v>18695.22854625</v>
      </c>
    </row>
    <row r="13" spans="1:13" ht="17.25">
      <c r="A13" s="389"/>
      <c r="B13" s="340" t="s">
        <v>652</v>
      </c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1"/>
    </row>
    <row r="14" spans="1:13">
      <c r="A14" s="389"/>
      <c r="B14" s="71" t="s">
        <v>608</v>
      </c>
      <c r="C14" s="156" t="s">
        <v>35</v>
      </c>
      <c r="D14" s="342">
        <v>1</v>
      </c>
      <c r="E14" s="156">
        <v>1</v>
      </c>
      <c r="F14" s="50">
        <f>21/30</f>
        <v>0.7</v>
      </c>
      <c r="G14" s="50">
        <f>D14*E14*F14*176</f>
        <v>123.19999999999999</v>
      </c>
      <c r="H14" s="36">
        <f>VLOOKUP(C14,'Tabela DNIT-Consult-MO'!$A:$D,4,FALSE)</f>
        <v>10864.39</v>
      </c>
      <c r="I14" s="36">
        <f>F14*H14*$D$14*E14</f>
        <v>7605.0729999999994</v>
      </c>
      <c r="J14" s="70">
        <f>VLOOKUP(C14,'Tabela DNIT-Consult-MO'!$A:$F,5,FALSE)</f>
        <v>0.80049999999999999</v>
      </c>
      <c r="K14" s="36">
        <f>H14*J14</f>
        <v>8696.944195</v>
      </c>
      <c r="L14" s="36">
        <f>I14*J14</f>
        <v>6087.8609364999993</v>
      </c>
      <c r="M14" s="37">
        <f>I14+L14</f>
        <v>13692.933936499998</v>
      </c>
    </row>
    <row r="15" spans="1:13">
      <c r="A15" s="389"/>
      <c r="B15" s="69" t="s">
        <v>28</v>
      </c>
      <c r="C15" s="156" t="s">
        <v>29</v>
      </c>
      <c r="D15" s="342"/>
      <c r="E15" s="156">
        <v>1</v>
      </c>
      <c r="F15" s="50">
        <f>21/30</f>
        <v>0.7</v>
      </c>
      <c r="G15" s="50">
        <f>D14*E15*F15*176</f>
        <v>123.19999999999999</v>
      </c>
      <c r="H15" s="36">
        <f>VLOOKUP(C15,'Tabela DNIT-Consult-MO'!$A:$D,4,FALSE)</f>
        <v>2974.3</v>
      </c>
      <c r="I15" s="36">
        <f>F15*H15*$D$14*E15</f>
        <v>2082.0100000000002</v>
      </c>
      <c r="J15" s="70">
        <f>VLOOKUP(C15,'Tabela DNIT-Consult-MO'!$A:$F,5,FALSE)</f>
        <v>0.80400000000000005</v>
      </c>
      <c r="K15" s="36">
        <f>H15*J15</f>
        <v>2391.3372000000004</v>
      </c>
      <c r="L15" s="36">
        <f>I15*J15</f>
        <v>1673.9360400000003</v>
      </c>
      <c r="M15" s="37">
        <f>I15+L15</f>
        <v>3755.9460400000007</v>
      </c>
    </row>
    <row r="16" spans="1:13" ht="15.75" thickBot="1">
      <c r="A16" s="390"/>
      <c r="B16" s="346" t="s">
        <v>4</v>
      </c>
      <c r="C16" s="346"/>
      <c r="D16" s="346"/>
      <c r="E16" s="346"/>
      <c r="F16" s="346"/>
      <c r="G16" s="346"/>
      <c r="H16" s="346"/>
      <c r="I16" s="73">
        <f>SUM(I14:I15)</f>
        <v>9687.0829999999987</v>
      </c>
      <c r="J16" s="74"/>
      <c r="K16" s="74"/>
      <c r="L16" s="74"/>
      <c r="M16" s="42">
        <f>SUM(M14:M15)</f>
        <v>17448.8799765</v>
      </c>
    </row>
    <row r="17" spans="1:13" ht="15.75" thickBot="1">
      <c r="A17" s="38"/>
      <c r="B17" s="39"/>
      <c r="C17" s="39"/>
      <c r="D17" s="39"/>
      <c r="E17" s="39"/>
      <c r="F17" s="39"/>
      <c r="G17" s="39"/>
      <c r="H17" s="39"/>
      <c r="I17" s="40"/>
      <c r="J17" s="26"/>
      <c r="K17" s="26"/>
      <c r="L17" s="26"/>
      <c r="M17" s="40"/>
    </row>
    <row r="18" spans="1:13">
      <c r="A18" s="392" t="s">
        <v>400</v>
      </c>
      <c r="B18" s="393"/>
      <c r="C18" s="393"/>
      <c r="D18" s="393"/>
      <c r="E18" s="393"/>
      <c r="F18" s="393"/>
      <c r="G18" s="393"/>
      <c r="H18" s="394"/>
    </row>
    <row r="19" spans="1:13" ht="60">
      <c r="A19" s="155" t="s">
        <v>378</v>
      </c>
      <c r="B19" s="45" t="s">
        <v>403</v>
      </c>
      <c r="C19" s="46" t="s">
        <v>404</v>
      </c>
      <c r="D19" s="46" t="s">
        <v>407</v>
      </c>
      <c r="E19" s="46" t="s">
        <v>405</v>
      </c>
      <c r="F19" s="46" t="s">
        <v>408</v>
      </c>
      <c r="G19" s="46" t="s">
        <v>406</v>
      </c>
      <c r="H19" s="64" t="s">
        <v>416</v>
      </c>
    </row>
    <row r="20" spans="1:13">
      <c r="A20" s="413" t="s">
        <v>490</v>
      </c>
      <c r="B20" s="344" t="s">
        <v>429</v>
      </c>
      <c r="C20" s="344"/>
      <c r="D20" s="344"/>
      <c r="E20" s="344"/>
      <c r="F20" s="344"/>
      <c r="G20" s="344"/>
      <c r="H20" s="345"/>
    </row>
    <row r="21" spans="1:13">
      <c r="A21" s="413"/>
      <c r="B21" s="44" t="s">
        <v>247</v>
      </c>
      <c r="C21" s="156" t="s">
        <v>402</v>
      </c>
      <c r="D21" s="49">
        <f>D6</f>
        <v>1</v>
      </c>
      <c r="E21" s="50">
        <f>$F$6</f>
        <v>0.5</v>
      </c>
      <c r="F21" s="49">
        <f>D21*E21</f>
        <v>0.5</v>
      </c>
      <c r="G21" s="36">
        <f>(('Tabela DNIT-Consult-BDI'!$H$5*66)+('Tabela DNIT-Consult-BDI'!$I$5*116.49))</f>
        <v>3213.6885000000002</v>
      </c>
      <c r="H21" s="37">
        <f>G21*F21</f>
        <v>1606.8442500000001</v>
      </c>
    </row>
    <row r="22" spans="1:13">
      <c r="A22" s="413"/>
      <c r="B22" s="44" t="s">
        <v>401</v>
      </c>
      <c r="C22" s="156" t="s">
        <v>33</v>
      </c>
      <c r="D22" s="50">
        <f>(E6+E7)*D6*8</f>
        <v>16</v>
      </c>
      <c r="E22" s="50">
        <f>$F$6</f>
        <v>0.5</v>
      </c>
      <c r="F22" s="49">
        <f>D22*E22</f>
        <v>8</v>
      </c>
      <c r="G22" s="52">
        <f>Diárias!$E$5</f>
        <v>364.43999999999994</v>
      </c>
      <c r="H22" s="37">
        <f>G22*F22</f>
        <v>2915.5199999999995</v>
      </c>
    </row>
    <row r="23" spans="1:13">
      <c r="A23" s="413"/>
      <c r="B23" s="343" t="s">
        <v>4</v>
      </c>
      <c r="C23" s="343"/>
      <c r="D23" s="343"/>
      <c r="E23" s="343"/>
      <c r="F23" s="343"/>
      <c r="G23" s="343"/>
      <c r="H23" s="66">
        <f>SUM(H21:H22)</f>
        <v>4522.3642499999996</v>
      </c>
    </row>
    <row r="24" spans="1:13">
      <c r="A24" s="413"/>
      <c r="B24" s="344" t="s">
        <v>432</v>
      </c>
      <c r="C24" s="344"/>
      <c r="D24" s="344"/>
      <c r="E24" s="344"/>
      <c r="F24" s="344"/>
      <c r="G24" s="344"/>
      <c r="H24" s="345"/>
    </row>
    <row r="25" spans="1:13">
      <c r="A25" s="413"/>
      <c r="B25" s="44" t="s">
        <v>247</v>
      </c>
      <c r="C25" s="156" t="s">
        <v>402</v>
      </c>
      <c r="D25" s="49">
        <f>D10</f>
        <v>1</v>
      </c>
      <c r="E25" s="50">
        <f>$F$10</f>
        <v>0.75</v>
      </c>
      <c r="F25" s="49">
        <f>D25*E25</f>
        <v>0.75</v>
      </c>
      <c r="G25" s="36">
        <f>(('Tabela DNIT-Consult-BDI'!$H$5*66)+('Tabela DNIT-Consult-BDI'!$I$5*116.49))</f>
        <v>3213.6885000000002</v>
      </c>
      <c r="H25" s="37">
        <f>G25*F25</f>
        <v>2410.2663750000002</v>
      </c>
    </row>
    <row r="26" spans="1:13">
      <c r="A26" s="413"/>
      <c r="B26" s="44" t="s">
        <v>401</v>
      </c>
      <c r="C26" s="156" t="s">
        <v>33</v>
      </c>
      <c r="D26" s="50">
        <f>(E10+E11)*D10*8</f>
        <v>16</v>
      </c>
      <c r="E26" s="50">
        <f>$F$10</f>
        <v>0.75</v>
      </c>
      <c r="F26" s="49">
        <f>D26*E26</f>
        <v>12</v>
      </c>
      <c r="G26" s="52">
        <f>Diárias!$E$5</f>
        <v>364.43999999999994</v>
      </c>
      <c r="H26" s="37">
        <f>G26*F26</f>
        <v>4373.2799999999988</v>
      </c>
    </row>
    <row r="27" spans="1:13">
      <c r="A27" s="413"/>
      <c r="B27" s="343" t="s">
        <v>4</v>
      </c>
      <c r="C27" s="343"/>
      <c r="D27" s="343"/>
      <c r="E27" s="343"/>
      <c r="F27" s="343"/>
      <c r="G27" s="343"/>
      <c r="H27" s="66">
        <f>SUM(H25:H26)</f>
        <v>6783.546374999999</v>
      </c>
    </row>
    <row r="28" spans="1:13">
      <c r="A28" s="413"/>
      <c r="B28" s="344" t="s">
        <v>646</v>
      </c>
      <c r="C28" s="344"/>
      <c r="D28" s="344"/>
      <c r="E28" s="344"/>
      <c r="F28" s="344"/>
      <c r="G28" s="344"/>
      <c r="H28" s="345"/>
    </row>
    <row r="29" spans="1:13">
      <c r="A29" s="413"/>
      <c r="B29" s="44" t="s">
        <v>247</v>
      </c>
      <c r="C29" s="156" t="s">
        <v>402</v>
      </c>
      <c r="D29" s="49">
        <f>D14</f>
        <v>1</v>
      </c>
      <c r="E29" s="50">
        <f>F14</f>
        <v>0.7</v>
      </c>
      <c r="F29" s="49">
        <f>D29*E29</f>
        <v>0.7</v>
      </c>
      <c r="G29" s="36">
        <f>(('Tabela DNIT-Consult-BDI'!$H$5*66)+('Tabela DNIT-Consult-BDI'!$I$5*116.49))</f>
        <v>3213.6885000000002</v>
      </c>
      <c r="H29" s="37">
        <f>G29*F29</f>
        <v>2249.5819499999998</v>
      </c>
    </row>
    <row r="30" spans="1:13">
      <c r="A30" s="413"/>
      <c r="B30" s="44" t="s">
        <v>401</v>
      </c>
      <c r="C30" s="156" t="s">
        <v>33</v>
      </c>
      <c r="D30" s="50">
        <f>(E14+E15)*D14*8</f>
        <v>16</v>
      </c>
      <c r="E30" s="50">
        <f>F15</f>
        <v>0.7</v>
      </c>
      <c r="F30" s="49">
        <f>D30*E30</f>
        <v>11.2</v>
      </c>
      <c r="G30" s="52">
        <f>Diárias!$E$5</f>
        <v>364.43999999999994</v>
      </c>
      <c r="H30" s="37">
        <f>G30*F30</f>
        <v>4081.7279999999992</v>
      </c>
    </row>
    <row r="31" spans="1:13" ht="15.75" thickBot="1">
      <c r="A31" s="414"/>
      <c r="B31" s="346" t="s">
        <v>4</v>
      </c>
      <c r="C31" s="346"/>
      <c r="D31" s="346"/>
      <c r="E31" s="346"/>
      <c r="F31" s="346"/>
      <c r="G31" s="346"/>
      <c r="H31" s="67">
        <f>SUM(H29:H30)</f>
        <v>6331.3099499999989</v>
      </c>
    </row>
    <row r="32" spans="1:13">
      <c r="A32" s="161"/>
      <c r="B32" s="39"/>
      <c r="C32" s="39"/>
      <c r="D32" s="39"/>
      <c r="E32" s="39"/>
      <c r="F32" s="39"/>
      <c r="G32" s="39"/>
      <c r="H32" s="162"/>
    </row>
    <row r="33" spans="1:14">
      <c r="A33" s="35"/>
      <c r="B33" s="415" t="s">
        <v>488</v>
      </c>
      <c r="C33" s="415"/>
      <c r="D33" s="415"/>
      <c r="E33" s="415"/>
      <c r="F33" s="415"/>
      <c r="G33" s="415"/>
      <c r="H33" s="415"/>
    </row>
    <row r="34" spans="1:14" ht="15.75" thickBot="1">
      <c r="A34" s="35"/>
    </row>
    <row r="35" spans="1:14" ht="21.75" thickBot="1">
      <c r="B35" s="396" t="s">
        <v>439</v>
      </c>
      <c r="C35" s="397"/>
      <c r="D35" s="397"/>
      <c r="E35" s="397"/>
      <c r="F35" s="398"/>
      <c r="H35" s="396" t="s">
        <v>438</v>
      </c>
      <c r="I35" s="397"/>
      <c r="J35" s="397"/>
      <c r="K35" s="397"/>
      <c r="L35" s="398"/>
      <c r="N35" s="30"/>
    </row>
    <row r="36" spans="1:14">
      <c r="B36" s="355" t="s">
        <v>1</v>
      </c>
      <c r="C36" s="356"/>
      <c r="D36" s="356"/>
      <c r="E36" s="356" t="s">
        <v>2</v>
      </c>
      <c r="F36" s="395"/>
      <c r="H36" s="355" t="s">
        <v>1</v>
      </c>
      <c r="I36" s="356"/>
      <c r="J36" s="356"/>
      <c r="K36" s="356" t="s">
        <v>2</v>
      </c>
      <c r="L36" s="395"/>
    </row>
    <row r="37" spans="1:14" ht="15.75" thickBot="1">
      <c r="B37" s="357"/>
      <c r="C37" s="358"/>
      <c r="D37" s="358"/>
      <c r="E37" s="53" t="s">
        <v>3</v>
      </c>
      <c r="F37" s="54" t="s">
        <v>4</v>
      </c>
      <c r="H37" s="357"/>
      <c r="I37" s="358"/>
      <c r="J37" s="358"/>
      <c r="K37" s="53" t="s">
        <v>3</v>
      </c>
      <c r="L37" s="54" t="s">
        <v>4</v>
      </c>
    </row>
    <row r="38" spans="1:14">
      <c r="B38" s="359" t="s">
        <v>398</v>
      </c>
      <c r="C38" s="360"/>
      <c r="D38" s="360"/>
      <c r="E38" s="360"/>
      <c r="F38" s="410">
        <f>SUM(E39:E40)</f>
        <v>12463.4856975</v>
      </c>
      <c r="H38" s="359" t="s">
        <v>398</v>
      </c>
      <c r="I38" s="360"/>
      <c r="J38" s="360"/>
      <c r="K38" s="360"/>
      <c r="L38" s="410">
        <f>SUM(K39:K40)</f>
        <v>18695.22854625</v>
      </c>
    </row>
    <row r="39" spans="1:14">
      <c r="B39" s="363" t="s">
        <v>5</v>
      </c>
      <c r="C39" s="378" t="s">
        <v>6</v>
      </c>
      <c r="D39" s="378"/>
      <c r="E39" s="83">
        <f>M6</f>
        <v>9780.6670974999997</v>
      </c>
      <c r="F39" s="411"/>
      <c r="H39" s="363" t="s">
        <v>5</v>
      </c>
      <c r="I39" s="378" t="s">
        <v>6</v>
      </c>
      <c r="J39" s="378"/>
      <c r="K39" s="83">
        <f>M10</f>
        <v>14671.000646249999</v>
      </c>
      <c r="L39" s="411"/>
      <c r="N39" s="30"/>
    </row>
    <row r="40" spans="1:14" ht="15.75" thickBot="1">
      <c r="B40" s="364"/>
      <c r="C40" s="378" t="s">
        <v>7</v>
      </c>
      <c r="D40" s="378"/>
      <c r="E40" s="83">
        <f>M7</f>
        <v>2682.8186000000005</v>
      </c>
      <c r="F40" s="412"/>
      <c r="H40" s="364"/>
      <c r="I40" s="378" t="s">
        <v>7</v>
      </c>
      <c r="J40" s="378"/>
      <c r="K40" s="83">
        <f>M11</f>
        <v>4024.2279000000008</v>
      </c>
      <c r="L40" s="412"/>
    </row>
    <row r="41" spans="1:14">
      <c r="B41" s="352" t="s">
        <v>414</v>
      </c>
      <c r="C41" s="353"/>
      <c r="D41" s="353"/>
      <c r="E41" s="354"/>
      <c r="F41" s="371">
        <f>SUM(E42)</f>
        <v>1525.5306493740002</v>
      </c>
      <c r="H41" s="352" t="s">
        <v>414</v>
      </c>
      <c r="I41" s="353"/>
      <c r="J41" s="353"/>
      <c r="K41" s="354"/>
      <c r="L41" s="371">
        <f>SUM(K42)</f>
        <v>2288.2959740610004</v>
      </c>
    </row>
    <row r="42" spans="1:14" ht="15.75" thickBot="1">
      <c r="B42" s="55" t="s">
        <v>8</v>
      </c>
      <c r="C42" s="77">
        <f>'Tabela DNIT-Consult-BDI'!$I$27/100</f>
        <v>0.12240000000000001</v>
      </c>
      <c r="D42" s="58" t="s">
        <v>9</v>
      </c>
      <c r="E42" s="84">
        <f>F38*C42</f>
        <v>1525.5306493740002</v>
      </c>
      <c r="F42" s="368"/>
      <c r="H42" s="55" t="s">
        <v>8</v>
      </c>
      <c r="I42" s="77">
        <f>'Tabela DNIT-Consult-BDI'!$I$27/100</f>
        <v>0.12240000000000001</v>
      </c>
      <c r="J42" s="58" t="s">
        <v>9</v>
      </c>
      <c r="K42" s="84">
        <f>L38*I42</f>
        <v>2288.2959740610004</v>
      </c>
      <c r="L42" s="368"/>
    </row>
    <row r="43" spans="1:14">
      <c r="B43" s="352" t="s">
        <v>415</v>
      </c>
      <c r="C43" s="353"/>
      <c r="D43" s="353"/>
      <c r="E43" s="354"/>
      <c r="F43" s="371">
        <f>SUM(E44:E45)</f>
        <v>4522.3642499999996</v>
      </c>
      <c r="H43" s="352" t="s">
        <v>415</v>
      </c>
      <c r="I43" s="353"/>
      <c r="J43" s="353"/>
      <c r="K43" s="354"/>
      <c r="L43" s="371">
        <f>SUM(K44:K45)</f>
        <v>6783.546374999999</v>
      </c>
    </row>
    <row r="44" spans="1:14">
      <c r="B44" s="373" t="s">
        <v>486</v>
      </c>
      <c r="C44" s="374"/>
      <c r="D44" s="374"/>
      <c r="E44" s="83">
        <f>H21</f>
        <v>1606.8442500000001</v>
      </c>
      <c r="F44" s="372"/>
      <c r="H44" s="373" t="s">
        <v>486</v>
      </c>
      <c r="I44" s="374"/>
      <c r="J44" s="374"/>
      <c r="K44" s="83">
        <f>H25</f>
        <v>2410.2663750000002</v>
      </c>
      <c r="L44" s="372"/>
    </row>
    <row r="45" spans="1:14" ht="15.75" thickBot="1">
      <c r="B45" s="375" t="s">
        <v>487</v>
      </c>
      <c r="C45" s="376"/>
      <c r="D45" s="377"/>
      <c r="E45" s="83">
        <f>H22</f>
        <v>2915.5199999999995</v>
      </c>
      <c r="F45" s="368"/>
      <c r="H45" s="375" t="s">
        <v>487</v>
      </c>
      <c r="I45" s="376"/>
      <c r="J45" s="377"/>
      <c r="K45" s="83">
        <f>H26</f>
        <v>4373.2799999999988</v>
      </c>
      <c r="L45" s="368"/>
    </row>
    <row r="46" spans="1:14">
      <c r="B46" s="347" t="s">
        <v>10</v>
      </c>
      <c r="C46" s="348"/>
      <c r="D46" s="349"/>
      <c r="E46" s="57" t="s">
        <v>417</v>
      </c>
      <c r="F46" s="75">
        <f>F43+F41+F38</f>
        <v>18511.380596873998</v>
      </c>
      <c r="H46" s="347" t="s">
        <v>10</v>
      </c>
      <c r="I46" s="348"/>
      <c r="J46" s="349"/>
      <c r="K46" s="57" t="s">
        <v>417</v>
      </c>
      <c r="L46" s="75">
        <f>L43+L41+L38</f>
        <v>27767.070895311001</v>
      </c>
    </row>
    <row r="47" spans="1:14">
      <c r="B47" s="350" t="s">
        <v>11</v>
      </c>
      <c r="C47" s="351"/>
      <c r="D47" s="351"/>
      <c r="E47" s="400"/>
      <c r="F47" s="362">
        <f>D48*F46</f>
        <v>2221.3656716248797</v>
      </c>
      <c r="H47" s="350" t="s">
        <v>11</v>
      </c>
      <c r="I47" s="351"/>
      <c r="J47" s="351"/>
      <c r="K47" s="400"/>
      <c r="L47" s="362">
        <f>J48*L46</f>
        <v>3332.04850743732</v>
      </c>
    </row>
    <row r="48" spans="1:14">
      <c r="B48" s="365" t="s">
        <v>8</v>
      </c>
      <c r="C48" s="366"/>
      <c r="D48" s="77">
        <f>'Tabela DNIT-Consult-BDI'!$I$30/100</f>
        <v>0.12</v>
      </c>
      <c r="E48" s="49" t="s">
        <v>12</v>
      </c>
      <c r="F48" s="362"/>
      <c r="H48" s="365" t="s">
        <v>8</v>
      </c>
      <c r="I48" s="366"/>
      <c r="J48" s="77">
        <f>'Tabela DNIT-Consult-BDI'!$I$30/100</f>
        <v>0.12</v>
      </c>
      <c r="K48" s="49" t="s">
        <v>12</v>
      </c>
      <c r="L48" s="362"/>
    </row>
    <row r="49" spans="2:12">
      <c r="B49" s="350" t="s">
        <v>13</v>
      </c>
      <c r="C49" s="351"/>
      <c r="D49" s="351"/>
      <c r="E49" s="400"/>
      <c r="F49" s="367">
        <f>D50*(F46+F47)</f>
        <v>4279.2388298181686</v>
      </c>
      <c r="H49" s="350" t="s">
        <v>13</v>
      </c>
      <c r="I49" s="351"/>
      <c r="J49" s="351"/>
      <c r="K49" s="400"/>
      <c r="L49" s="367">
        <f>J50*(L46+L47)</f>
        <v>6418.8582447272538</v>
      </c>
    </row>
    <row r="50" spans="2:12" ht="15.75" thickBot="1">
      <c r="B50" s="369" t="s">
        <v>8</v>
      </c>
      <c r="C50" s="370"/>
      <c r="D50" s="77">
        <f>'Tabela DNIT-Consult-BDI'!$I$35/100</f>
        <v>0.2064</v>
      </c>
      <c r="E50" s="58" t="s">
        <v>14</v>
      </c>
      <c r="F50" s="368"/>
      <c r="H50" s="369" t="s">
        <v>8</v>
      </c>
      <c r="I50" s="370"/>
      <c r="J50" s="77">
        <f>'Tabela DNIT-Consult-BDI'!$I$35/100</f>
        <v>0.2064</v>
      </c>
      <c r="K50" s="58" t="s">
        <v>14</v>
      </c>
      <c r="L50" s="368"/>
    </row>
    <row r="51" spans="2:12">
      <c r="B51" s="347" t="s">
        <v>588</v>
      </c>
      <c r="C51" s="348"/>
      <c r="D51" s="348"/>
      <c r="E51" s="349"/>
      <c r="F51" s="371">
        <f>E52</f>
        <v>9266.8651147445835</v>
      </c>
      <c r="H51" s="347" t="s">
        <v>588</v>
      </c>
      <c r="I51" s="348"/>
      <c r="J51" s="348"/>
      <c r="K51" s="349"/>
      <c r="L51" s="371">
        <f>K52</f>
        <v>10921.493156784245</v>
      </c>
    </row>
    <row r="52" spans="2:12" ht="15.75" thickBot="1">
      <c r="B52" s="403" t="s">
        <v>586</v>
      </c>
      <c r="C52" s="404"/>
      <c r="D52" s="405"/>
      <c r="E52" s="139">
        <f>'CPU_Eq. Coord.'!F78</f>
        <v>9266.8651147445835</v>
      </c>
      <c r="F52" s="368"/>
      <c r="H52" s="403" t="s">
        <v>586</v>
      </c>
      <c r="I52" s="404"/>
      <c r="J52" s="405"/>
      <c r="K52" s="139">
        <f>'CPU_Eq. Coord.'!L78</f>
        <v>10921.493156784245</v>
      </c>
      <c r="L52" s="368"/>
    </row>
    <row r="53" spans="2:12" ht="15.75" thickBot="1">
      <c r="B53" s="337" t="s">
        <v>592</v>
      </c>
      <c r="C53" s="338"/>
      <c r="D53" s="339"/>
      <c r="E53" s="62" t="s">
        <v>587</v>
      </c>
      <c r="F53" s="76">
        <f>F46+F47+F49+F51</f>
        <v>34278.850213061633</v>
      </c>
      <c r="H53" s="337" t="s">
        <v>420</v>
      </c>
      <c r="I53" s="338"/>
      <c r="J53" s="339"/>
      <c r="K53" s="62" t="s">
        <v>15</v>
      </c>
      <c r="L53" s="76">
        <f>L46+L47+L49+L51</f>
        <v>48439.470804259821</v>
      </c>
    </row>
    <row r="55" spans="2:12" ht="15.75" thickBot="1"/>
    <row r="56" spans="2:12" ht="21.75" thickBot="1">
      <c r="B56" s="396" t="s">
        <v>653</v>
      </c>
      <c r="C56" s="397"/>
      <c r="D56" s="397"/>
      <c r="E56" s="397"/>
      <c r="F56" s="398"/>
    </row>
    <row r="57" spans="2:12">
      <c r="B57" s="355" t="s">
        <v>1</v>
      </c>
      <c r="C57" s="356"/>
      <c r="D57" s="356"/>
      <c r="E57" s="356" t="s">
        <v>2</v>
      </c>
      <c r="F57" s="395"/>
    </row>
    <row r="58" spans="2:12" ht="15.75" thickBot="1">
      <c r="B58" s="357"/>
      <c r="C58" s="358"/>
      <c r="D58" s="358"/>
      <c r="E58" s="153" t="s">
        <v>3</v>
      </c>
      <c r="F58" s="54" t="s">
        <v>4</v>
      </c>
    </row>
    <row r="59" spans="2:12">
      <c r="B59" s="359" t="s">
        <v>398</v>
      </c>
      <c r="C59" s="360"/>
      <c r="D59" s="360"/>
      <c r="E59" s="360"/>
      <c r="F59" s="410">
        <f>SUM(E60:E61)</f>
        <v>17448.8799765</v>
      </c>
    </row>
    <row r="60" spans="2:12">
      <c r="B60" s="363" t="s">
        <v>5</v>
      </c>
      <c r="C60" s="378" t="s">
        <v>6</v>
      </c>
      <c r="D60" s="378"/>
      <c r="E60" s="83">
        <f>M14</f>
        <v>13692.933936499998</v>
      </c>
      <c r="F60" s="411"/>
    </row>
    <row r="61" spans="2:12" ht="15.75" thickBot="1">
      <c r="B61" s="364"/>
      <c r="C61" s="378" t="s">
        <v>7</v>
      </c>
      <c r="D61" s="378"/>
      <c r="E61" s="83">
        <f>M15</f>
        <v>3755.9460400000007</v>
      </c>
      <c r="F61" s="412"/>
    </row>
    <row r="62" spans="2:12">
      <c r="B62" s="352" t="s">
        <v>414</v>
      </c>
      <c r="C62" s="353"/>
      <c r="D62" s="353"/>
      <c r="E62" s="354"/>
      <c r="F62" s="371">
        <f>SUM(E63)</f>
        <v>2135.7429091236004</v>
      </c>
    </row>
    <row r="63" spans="2:12" ht="15.75" thickBot="1">
      <c r="B63" s="55" t="s">
        <v>8</v>
      </c>
      <c r="C63" s="77">
        <f>'Tabela DNIT-Consult-BDI'!$I$27/100</f>
        <v>0.12240000000000001</v>
      </c>
      <c r="D63" s="58" t="s">
        <v>9</v>
      </c>
      <c r="E63" s="84">
        <f>F59*C63</f>
        <v>2135.7429091236004</v>
      </c>
      <c r="F63" s="368"/>
    </row>
    <row r="64" spans="2:12">
      <c r="B64" s="352" t="s">
        <v>415</v>
      </c>
      <c r="C64" s="353"/>
      <c r="D64" s="353"/>
      <c r="E64" s="354"/>
      <c r="F64" s="371">
        <f>SUM(E65:E66)</f>
        <v>6331.3099499999989</v>
      </c>
    </row>
    <row r="65" spans="2:6">
      <c r="B65" s="373" t="s">
        <v>486</v>
      </c>
      <c r="C65" s="374"/>
      <c r="D65" s="374"/>
      <c r="E65" s="83">
        <f>H29</f>
        <v>2249.5819499999998</v>
      </c>
      <c r="F65" s="372"/>
    </row>
    <row r="66" spans="2:6" ht="15.75" thickBot="1">
      <c r="B66" s="375" t="s">
        <v>487</v>
      </c>
      <c r="C66" s="376"/>
      <c r="D66" s="377"/>
      <c r="E66" s="83">
        <f>H30</f>
        <v>4081.7279999999992</v>
      </c>
      <c r="F66" s="368"/>
    </row>
    <row r="67" spans="2:6">
      <c r="B67" s="347" t="s">
        <v>10</v>
      </c>
      <c r="C67" s="348"/>
      <c r="D67" s="349"/>
      <c r="E67" s="152" t="s">
        <v>417</v>
      </c>
      <c r="F67" s="154">
        <f>F64+F62+F59</f>
        <v>25915.9328356236</v>
      </c>
    </row>
    <row r="68" spans="2:6">
      <c r="B68" s="350" t="s">
        <v>11</v>
      </c>
      <c r="C68" s="351"/>
      <c r="D68" s="351"/>
      <c r="E68" s="400"/>
      <c r="F68" s="362">
        <f>D69*F67</f>
        <v>3109.911940274832</v>
      </c>
    </row>
    <row r="69" spans="2:6">
      <c r="B69" s="365" t="s">
        <v>8</v>
      </c>
      <c r="C69" s="366"/>
      <c r="D69" s="77">
        <f>'Tabela DNIT-Consult-BDI'!$I$30/100</f>
        <v>0.12</v>
      </c>
      <c r="E69" s="49" t="s">
        <v>12</v>
      </c>
      <c r="F69" s="362"/>
    </row>
    <row r="70" spans="2:6">
      <c r="B70" s="350" t="s">
        <v>13</v>
      </c>
      <c r="C70" s="351"/>
      <c r="D70" s="351"/>
      <c r="E70" s="400"/>
      <c r="F70" s="367">
        <f>D71*(F67+F68)</f>
        <v>5990.9343617454369</v>
      </c>
    </row>
    <row r="71" spans="2:6" ht="15.75" thickBot="1">
      <c r="B71" s="369" t="s">
        <v>8</v>
      </c>
      <c r="C71" s="370"/>
      <c r="D71" s="77">
        <f>'Tabela DNIT-Consult-BDI'!$I$35/100</f>
        <v>0.2064</v>
      </c>
      <c r="E71" s="58" t="s">
        <v>14</v>
      </c>
      <c r="F71" s="368"/>
    </row>
    <row r="72" spans="2:6">
      <c r="B72" s="347" t="s">
        <v>588</v>
      </c>
      <c r="C72" s="348"/>
      <c r="D72" s="348"/>
      <c r="E72" s="349"/>
      <c r="F72" s="371">
        <f>E73</f>
        <v>20968.323465394224</v>
      </c>
    </row>
    <row r="73" spans="2:6" ht="15.75" thickBot="1">
      <c r="B73" s="403" t="s">
        <v>586</v>
      </c>
      <c r="C73" s="404"/>
      <c r="D73" s="405"/>
      <c r="E73" s="139">
        <f>'CPU_Eq. Coord.'!R78</f>
        <v>20968.323465394224</v>
      </c>
      <c r="F73" s="368"/>
    </row>
    <row r="74" spans="2:6" ht="15.75" thickBot="1">
      <c r="B74" s="337" t="s">
        <v>420</v>
      </c>
      <c r="C74" s="338"/>
      <c r="D74" s="339"/>
      <c r="E74" s="62" t="s">
        <v>15</v>
      </c>
      <c r="F74" s="76">
        <f>F67+F68+F70+F72</f>
        <v>55985.102603038089</v>
      </c>
    </row>
  </sheetData>
  <mergeCells count="97">
    <mergeCell ref="H46:J46"/>
    <mergeCell ref="A1:M1"/>
    <mergeCell ref="A2:M2"/>
    <mergeCell ref="A3:M3"/>
    <mergeCell ref="B5:M5"/>
    <mergeCell ref="D6:D7"/>
    <mergeCell ref="B8:H8"/>
    <mergeCell ref="B9:M9"/>
    <mergeCell ref="D10:D11"/>
    <mergeCell ref="B12:H12"/>
    <mergeCell ref="B20:H20"/>
    <mergeCell ref="B24:H24"/>
    <mergeCell ref="E36:F36"/>
    <mergeCell ref="B23:G23"/>
    <mergeCell ref="B27:G27"/>
    <mergeCell ref="B31:G31"/>
    <mergeCell ref="B46:D46"/>
    <mergeCell ref="B33:H33"/>
    <mergeCell ref="B38:E38"/>
    <mergeCell ref="F38:F40"/>
    <mergeCell ref="B39:B40"/>
    <mergeCell ref="C39:D39"/>
    <mergeCell ref="C40:D40"/>
    <mergeCell ref="H35:L35"/>
    <mergeCell ref="H36:J37"/>
    <mergeCell ref="K36:L36"/>
    <mergeCell ref="H38:K38"/>
    <mergeCell ref="L38:L40"/>
    <mergeCell ref="H39:H40"/>
    <mergeCell ref="I39:J39"/>
    <mergeCell ref="I40:J40"/>
    <mergeCell ref="B35:F35"/>
    <mergeCell ref="B36:D37"/>
    <mergeCell ref="B41:E41"/>
    <mergeCell ref="F41:F42"/>
    <mergeCell ref="B43:E43"/>
    <mergeCell ref="F43:F45"/>
    <mergeCell ref="B44:D44"/>
    <mergeCell ref="B45:D45"/>
    <mergeCell ref="F47:F48"/>
    <mergeCell ref="B48:C48"/>
    <mergeCell ref="F49:F50"/>
    <mergeCell ref="B50:C50"/>
    <mergeCell ref="B53:D53"/>
    <mergeCell ref="B49:E49"/>
    <mergeCell ref="B47:E47"/>
    <mergeCell ref="B51:E51"/>
    <mergeCell ref="F51:F52"/>
    <mergeCell ref="B52:D52"/>
    <mergeCell ref="H41:K41"/>
    <mergeCell ref="L41:L42"/>
    <mergeCell ref="H43:K43"/>
    <mergeCell ref="L43:L45"/>
    <mergeCell ref="H44:J44"/>
    <mergeCell ref="H45:J45"/>
    <mergeCell ref="L47:L48"/>
    <mergeCell ref="H48:I48"/>
    <mergeCell ref="L49:L50"/>
    <mergeCell ref="H50:I50"/>
    <mergeCell ref="H53:J53"/>
    <mergeCell ref="H51:K51"/>
    <mergeCell ref="L51:L52"/>
    <mergeCell ref="H52:J52"/>
    <mergeCell ref="H47:K47"/>
    <mergeCell ref="H49:K49"/>
    <mergeCell ref="B13:M13"/>
    <mergeCell ref="D14:D15"/>
    <mergeCell ref="B16:H16"/>
    <mergeCell ref="A5:A16"/>
    <mergeCell ref="B28:H28"/>
    <mergeCell ref="A20:A31"/>
    <mergeCell ref="A18:H18"/>
    <mergeCell ref="B56:F56"/>
    <mergeCell ref="B57:D58"/>
    <mergeCell ref="E57:F57"/>
    <mergeCell ref="B59:E59"/>
    <mergeCell ref="F59:F61"/>
    <mergeCell ref="B60:B61"/>
    <mergeCell ref="C60:D60"/>
    <mergeCell ref="C61:D61"/>
    <mergeCell ref="B62:E62"/>
    <mergeCell ref="F62:F63"/>
    <mergeCell ref="B64:E64"/>
    <mergeCell ref="F64:F66"/>
    <mergeCell ref="B65:D65"/>
    <mergeCell ref="B66:D66"/>
    <mergeCell ref="B72:E72"/>
    <mergeCell ref="F72:F73"/>
    <mergeCell ref="B73:D73"/>
    <mergeCell ref="B74:D74"/>
    <mergeCell ref="B67:D67"/>
    <mergeCell ref="B68:E68"/>
    <mergeCell ref="F68:F69"/>
    <mergeCell ref="B69:C69"/>
    <mergeCell ref="B70:E70"/>
    <mergeCell ref="F70:F71"/>
    <mergeCell ref="B71:C71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F51C32-0D86-4B6E-96E0-728FBE84B8C4}">
  <sheetPr>
    <tabColor theme="7"/>
  </sheetPr>
  <dimension ref="A1:Y98"/>
  <sheetViews>
    <sheetView topLeftCell="A2" zoomScale="130" zoomScaleNormal="130" workbookViewId="0">
      <selection activeCell="J36" sqref="J36"/>
    </sheetView>
  </sheetViews>
  <sheetFormatPr defaultColWidth="8.85546875" defaultRowHeight="12.75"/>
  <cols>
    <col min="1" max="1" width="9.28515625" style="1" customWidth="1"/>
    <col min="2" max="2" width="30.28515625" style="1" customWidth="1"/>
    <col min="3" max="3" width="4.7109375" style="1" customWidth="1"/>
    <col min="4" max="4" width="8" style="1" customWidth="1"/>
    <col min="5" max="5" width="6.85546875" style="1" customWidth="1"/>
    <col min="6" max="6" width="8" style="1" customWidth="1"/>
    <col min="7" max="7" width="5.7109375" style="1" customWidth="1"/>
    <col min="8" max="8" width="4.7109375" style="1" customWidth="1"/>
    <col min="9" max="9" width="5.7109375" style="1" customWidth="1"/>
    <col min="10" max="11" width="4.7109375" style="1" customWidth="1"/>
    <col min="12" max="12" width="3.28515625" style="1" customWidth="1"/>
    <col min="13" max="14" width="5.7109375" style="1" customWidth="1"/>
    <col min="15" max="15" width="8" style="1" customWidth="1"/>
    <col min="16" max="16" width="5.7109375" style="1" customWidth="1"/>
    <col min="17" max="18" width="4.7109375" style="1" customWidth="1"/>
    <col min="19" max="19" width="5.7109375" style="1" customWidth="1"/>
    <col min="20" max="20" width="4.7109375" style="1" customWidth="1"/>
    <col min="21" max="21" width="6.85546875" style="1" customWidth="1"/>
    <col min="22" max="22" width="4.7109375" style="1" customWidth="1"/>
    <col min="23" max="24" width="6.85546875" style="1" customWidth="1"/>
    <col min="25" max="25" width="8" style="1" customWidth="1"/>
    <col min="26" max="27" width="9.7109375" style="1" customWidth="1"/>
    <col min="28" max="16384" width="8.85546875" style="1"/>
  </cols>
  <sheetData>
    <row r="1" spans="1:25" hidden="1">
      <c r="D1" s="1">
        <v>4</v>
      </c>
      <c r="E1" s="1">
        <v>5</v>
      </c>
      <c r="F1" s="1">
        <v>6</v>
      </c>
      <c r="G1" s="1">
        <v>7</v>
      </c>
      <c r="H1" s="1">
        <v>8</v>
      </c>
      <c r="I1" s="1">
        <v>9</v>
      </c>
      <c r="J1" s="1">
        <v>10</v>
      </c>
      <c r="K1" s="1">
        <v>11</v>
      </c>
      <c r="L1" s="1">
        <v>12</v>
      </c>
      <c r="M1" s="1">
        <v>13</v>
      </c>
      <c r="N1" s="1">
        <v>14</v>
      </c>
      <c r="O1" s="1">
        <v>15</v>
      </c>
      <c r="P1" s="1">
        <v>16</v>
      </c>
      <c r="Q1" s="1">
        <v>17</v>
      </c>
      <c r="R1" s="1">
        <v>18</v>
      </c>
      <c r="S1" s="1">
        <v>19</v>
      </c>
      <c r="T1" s="1">
        <v>20</v>
      </c>
      <c r="U1" s="1">
        <v>21</v>
      </c>
      <c r="V1" s="1">
        <v>22</v>
      </c>
      <c r="W1" s="1">
        <v>23</v>
      </c>
      <c r="X1" s="1">
        <v>24</v>
      </c>
      <c r="Y1" s="1">
        <v>25</v>
      </c>
    </row>
    <row r="2" spans="1:25" ht="16.899999999999999" customHeight="1">
      <c r="A2" s="9" t="s">
        <v>36</v>
      </c>
      <c r="B2" s="9"/>
      <c r="C2" s="9"/>
      <c r="D2" s="9"/>
      <c r="E2" s="9"/>
      <c r="F2" s="9"/>
      <c r="G2" s="9"/>
      <c r="H2" s="9"/>
      <c r="I2" s="9"/>
      <c r="J2" s="9"/>
      <c r="K2" s="9"/>
      <c r="L2" s="9"/>
      <c r="M2" s="9"/>
      <c r="N2" s="9"/>
      <c r="O2" s="9"/>
      <c r="P2" s="9"/>
      <c r="Q2" s="9"/>
      <c r="R2" s="9"/>
      <c r="S2" s="9"/>
      <c r="T2" s="9"/>
      <c r="U2" s="9"/>
      <c r="V2" s="9"/>
      <c r="W2" s="9"/>
      <c r="X2" s="9"/>
      <c r="Y2" s="9"/>
    </row>
    <row r="3" spans="1:25" ht="13.9" customHeight="1" thickBot="1">
      <c r="A3" s="250" t="s">
        <v>729</v>
      </c>
      <c r="B3" s="10"/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  <c r="Q3" s="10"/>
      <c r="R3" s="10"/>
      <c r="S3" s="10"/>
      <c r="T3" s="10"/>
      <c r="U3" s="10"/>
      <c r="V3" s="10"/>
      <c r="W3" s="10"/>
      <c r="X3" s="10"/>
      <c r="Y3" s="10"/>
    </row>
    <row r="4" spans="1:25" ht="10.9" customHeight="1" thickTop="1" thickBot="1">
      <c r="A4" s="431" t="s">
        <v>37</v>
      </c>
      <c r="B4" s="434" t="s">
        <v>38</v>
      </c>
      <c r="C4" s="437" t="s">
        <v>39</v>
      </c>
      <c r="D4" s="434" t="s">
        <v>40</v>
      </c>
      <c r="E4" s="440" t="s">
        <v>41</v>
      </c>
      <c r="F4" s="434" t="s">
        <v>42</v>
      </c>
      <c r="G4" s="442" t="s">
        <v>43</v>
      </c>
      <c r="H4" s="443"/>
      <c r="I4" s="443"/>
      <c r="J4" s="443"/>
      <c r="K4" s="443"/>
      <c r="L4" s="443"/>
      <c r="M4" s="443"/>
      <c r="N4" s="443"/>
      <c r="O4" s="443"/>
      <c r="P4" s="444"/>
      <c r="Q4" s="442" t="s">
        <v>44</v>
      </c>
      <c r="R4" s="443"/>
      <c r="S4" s="443"/>
      <c r="T4" s="443"/>
      <c r="U4" s="443"/>
      <c r="V4" s="444"/>
      <c r="W4" s="445" t="s">
        <v>45</v>
      </c>
      <c r="X4" s="446"/>
      <c r="Y4" s="449" t="s">
        <v>46</v>
      </c>
    </row>
    <row r="5" spans="1:25" ht="19.899999999999999" customHeight="1" thickBot="1">
      <c r="A5" s="432"/>
      <c r="B5" s="435"/>
      <c r="C5" s="438"/>
      <c r="D5" s="436"/>
      <c r="E5" s="441"/>
      <c r="F5" s="436"/>
      <c r="G5" s="442" t="s">
        <v>47</v>
      </c>
      <c r="H5" s="444"/>
      <c r="I5" s="442" t="s">
        <v>48</v>
      </c>
      <c r="J5" s="444"/>
      <c r="K5" s="451" t="s">
        <v>49</v>
      </c>
      <c r="L5" s="452"/>
      <c r="M5" s="442" t="s">
        <v>50</v>
      </c>
      <c r="N5" s="444"/>
      <c r="O5" s="442" t="s">
        <v>51</v>
      </c>
      <c r="P5" s="444"/>
      <c r="Q5" s="442" t="s">
        <v>52</v>
      </c>
      <c r="R5" s="444"/>
      <c r="S5" s="442" t="s">
        <v>53</v>
      </c>
      <c r="T5" s="444"/>
      <c r="U5" s="451" t="s">
        <v>54</v>
      </c>
      <c r="V5" s="452"/>
      <c r="W5" s="447"/>
      <c r="X5" s="448"/>
      <c r="Y5" s="450"/>
    </row>
    <row r="6" spans="1:25" ht="13.15" customHeight="1" thickBot="1">
      <c r="A6" s="433"/>
      <c r="B6" s="436"/>
      <c r="C6" s="439"/>
      <c r="D6" s="2" t="s">
        <v>55</v>
      </c>
      <c r="E6" s="2" t="s">
        <v>56</v>
      </c>
      <c r="F6" s="2" t="s">
        <v>55</v>
      </c>
      <c r="G6" s="2" t="s">
        <v>56</v>
      </c>
      <c r="H6" s="2" t="s">
        <v>55</v>
      </c>
      <c r="I6" s="2" t="s">
        <v>56</v>
      </c>
      <c r="J6" s="3" t="s">
        <v>55</v>
      </c>
      <c r="K6" s="2" t="s">
        <v>56</v>
      </c>
      <c r="L6" s="3" t="s">
        <v>55</v>
      </c>
      <c r="M6" s="2" t="s">
        <v>56</v>
      </c>
      <c r="N6" s="2" t="s">
        <v>55</v>
      </c>
      <c r="O6" s="2" t="s">
        <v>56</v>
      </c>
      <c r="P6" s="2" t="s">
        <v>55</v>
      </c>
      <c r="Q6" s="2" t="s">
        <v>56</v>
      </c>
      <c r="R6" s="3" t="s">
        <v>55</v>
      </c>
      <c r="S6" s="2" t="s">
        <v>56</v>
      </c>
      <c r="T6" s="2" t="s">
        <v>55</v>
      </c>
      <c r="U6" s="2" t="s">
        <v>56</v>
      </c>
      <c r="V6" s="2" t="s">
        <v>55</v>
      </c>
      <c r="W6" s="2" t="s">
        <v>56</v>
      </c>
      <c r="X6" s="2" t="s">
        <v>55</v>
      </c>
      <c r="Y6" s="4" t="s">
        <v>55</v>
      </c>
    </row>
    <row r="7" spans="1:25" ht="12" customHeight="1" thickBot="1">
      <c r="A7" s="229" t="s">
        <v>725</v>
      </c>
      <c r="B7" s="230" t="s">
        <v>57</v>
      </c>
      <c r="C7" s="230" t="s">
        <v>58</v>
      </c>
      <c r="D7" s="231">
        <v>4270.26</v>
      </c>
      <c r="E7" s="232">
        <v>0.80179999999999996</v>
      </c>
      <c r="F7" s="231">
        <v>3423.89</v>
      </c>
      <c r="G7" s="233">
        <v>0.1376</v>
      </c>
      <c r="H7" s="234">
        <v>587.4</v>
      </c>
      <c r="I7" s="233">
        <v>8.9999999999999993E-3</v>
      </c>
      <c r="J7" s="234">
        <v>38.549999999999997</v>
      </c>
      <c r="K7" s="233">
        <v>0</v>
      </c>
      <c r="L7" s="234">
        <v>0</v>
      </c>
      <c r="M7" s="235">
        <v>0</v>
      </c>
      <c r="N7" s="236">
        <v>0</v>
      </c>
      <c r="O7" s="232">
        <v>8.0000000000000004E-4</v>
      </c>
      <c r="P7" s="236">
        <v>3.41</v>
      </c>
      <c r="Q7" s="233">
        <v>0</v>
      </c>
      <c r="R7" s="234">
        <v>0</v>
      </c>
      <c r="S7" s="235">
        <v>7.1400000000000005E-2</v>
      </c>
      <c r="T7" s="234">
        <v>304.99</v>
      </c>
      <c r="U7" s="235">
        <v>2.3E-3</v>
      </c>
      <c r="V7" s="236">
        <v>9.98</v>
      </c>
      <c r="W7" s="233">
        <v>1.0228999999999999</v>
      </c>
      <c r="X7" s="231">
        <v>4368.22</v>
      </c>
      <c r="Y7" s="237">
        <v>8638.48</v>
      </c>
    </row>
    <row r="8" spans="1:25" ht="12" customHeight="1" thickBot="1">
      <c r="A8" s="238" t="s">
        <v>726</v>
      </c>
      <c r="B8" s="239" t="s">
        <v>59</v>
      </c>
      <c r="C8" s="239" t="s">
        <v>58</v>
      </c>
      <c r="D8" s="240">
        <v>5693.68</v>
      </c>
      <c r="E8" s="241">
        <v>0.80179999999999996</v>
      </c>
      <c r="F8" s="240">
        <v>4565.1899999999996</v>
      </c>
      <c r="G8" s="242">
        <v>0.1032</v>
      </c>
      <c r="H8" s="243">
        <v>587.4</v>
      </c>
      <c r="I8" s="242">
        <v>6.7999999999999996E-3</v>
      </c>
      <c r="J8" s="243">
        <v>38.549999999999997</v>
      </c>
      <c r="K8" s="242">
        <v>0</v>
      </c>
      <c r="L8" s="243">
        <v>0</v>
      </c>
      <c r="M8" s="244">
        <v>0</v>
      </c>
      <c r="N8" s="245">
        <v>0</v>
      </c>
      <c r="O8" s="241">
        <v>5.9999999999999995E-4</v>
      </c>
      <c r="P8" s="245">
        <v>3.41</v>
      </c>
      <c r="Q8" s="242">
        <v>0</v>
      </c>
      <c r="R8" s="243">
        <v>0</v>
      </c>
      <c r="S8" s="244">
        <v>5.3600000000000002E-2</v>
      </c>
      <c r="T8" s="243">
        <v>304.99</v>
      </c>
      <c r="U8" s="244">
        <v>1.8E-3</v>
      </c>
      <c r="V8" s="245">
        <v>9.98</v>
      </c>
      <c r="W8" s="244">
        <v>0.9677</v>
      </c>
      <c r="X8" s="240">
        <v>5509.52</v>
      </c>
      <c r="Y8" s="246">
        <v>11203.2</v>
      </c>
    </row>
    <row r="9" spans="1:25" ht="12" customHeight="1" thickBot="1">
      <c r="A9" s="238" t="s">
        <v>727</v>
      </c>
      <c r="B9" s="239" t="s">
        <v>60</v>
      </c>
      <c r="C9" s="239" t="s">
        <v>58</v>
      </c>
      <c r="D9" s="240">
        <v>9719.64</v>
      </c>
      <c r="E9" s="241">
        <v>0.80179999999999996</v>
      </c>
      <c r="F9" s="240">
        <v>7793.21</v>
      </c>
      <c r="G9" s="244">
        <v>6.0400000000000002E-2</v>
      </c>
      <c r="H9" s="243">
        <v>587.4</v>
      </c>
      <c r="I9" s="242">
        <v>4.0000000000000001E-3</v>
      </c>
      <c r="J9" s="243">
        <v>38.549999999999997</v>
      </c>
      <c r="K9" s="242">
        <v>0</v>
      </c>
      <c r="L9" s="243">
        <v>0</v>
      </c>
      <c r="M9" s="244">
        <v>0</v>
      </c>
      <c r="N9" s="245">
        <v>0</v>
      </c>
      <c r="O9" s="241">
        <v>4.0000000000000002E-4</v>
      </c>
      <c r="P9" s="245">
        <v>3.41</v>
      </c>
      <c r="Q9" s="242">
        <v>0</v>
      </c>
      <c r="R9" s="243">
        <v>0</v>
      </c>
      <c r="S9" s="244">
        <v>3.1399999999999997E-2</v>
      </c>
      <c r="T9" s="243">
        <v>304.99</v>
      </c>
      <c r="U9" s="244">
        <v>1E-3</v>
      </c>
      <c r="V9" s="245">
        <v>9.98</v>
      </c>
      <c r="W9" s="244">
        <v>0.89900000000000002</v>
      </c>
      <c r="X9" s="240">
        <v>8737.5400000000009</v>
      </c>
      <c r="Y9" s="246">
        <v>18457.189999999999</v>
      </c>
    </row>
    <row r="10" spans="1:25" ht="12" customHeight="1" thickBot="1">
      <c r="A10" s="238" t="s">
        <v>728</v>
      </c>
      <c r="B10" s="239" t="s">
        <v>61</v>
      </c>
      <c r="C10" s="239" t="s">
        <v>58</v>
      </c>
      <c r="D10" s="240">
        <v>3334.69</v>
      </c>
      <c r="E10" s="241">
        <v>0.80179999999999996</v>
      </c>
      <c r="F10" s="240">
        <v>2673.76</v>
      </c>
      <c r="G10" s="242">
        <v>0.17610000000000001</v>
      </c>
      <c r="H10" s="243">
        <v>587.4</v>
      </c>
      <c r="I10" s="242">
        <v>0</v>
      </c>
      <c r="J10" s="245">
        <v>0</v>
      </c>
      <c r="K10" s="242">
        <v>0</v>
      </c>
      <c r="L10" s="243">
        <v>0</v>
      </c>
      <c r="M10" s="244">
        <v>5.7000000000000002E-3</v>
      </c>
      <c r="N10" s="245">
        <v>18.95</v>
      </c>
      <c r="O10" s="241">
        <v>1.1000000000000001E-3</v>
      </c>
      <c r="P10" s="245">
        <v>3.58</v>
      </c>
      <c r="Q10" s="242">
        <v>0</v>
      </c>
      <c r="R10" s="243">
        <v>0</v>
      </c>
      <c r="S10" s="244">
        <v>9.1499999999999998E-2</v>
      </c>
      <c r="T10" s="243">
        <v>304.99</v>
      </c>
      <c r="U10" s="244">
        <v>3.0000000000000001E-3</v>
      </c>
      <c r="V10" s="245">
        <v>9.98</v>
      </c>
      <c r="W10" s="242">
        <v>1.0791999999999999</v>
      </c>
      <c r="X10" s="240">
        <v>3598.66</v>
      </c>
      <c r="Y10" s="246">
        <v>6933.35</v>
      </c>
    </row>
    <row r="11" spans="1:25" ht="12" customHeight="1" thickBot="1">
      <c r="A11" s="238" t="s">
        <v>62</v>
      </c>
      <c r="B11" s="239" t="s">
        <v>63</v>
      </c>
      <c r="C11" s="239" t="s">
        <v>58</v>
      </c>
      <c r="D11" s="240">
        <v>4446.25</v>
      </c>
      <c r="E11" s="241">
        <v>0.80179999999999996</v>
      </c>
      <c r="F11" s="240">
        <v>3565.01</v>
      </c>
      <c r="G11" s="242">
        <v>0.1321</v>
      </c>
      <c r="H11" s="243">
        <v>587.4</v>
      </c>
      <c r="I11" s="242">
        <v>0</v>
      </c>
      <c r="J11" s="245">
        <v>0</v>
      </c>
      <c r="K11" s="242">
        <v>0</v>
      </c>
      <c r="L11" s="243">
        <v>0</v>
      </c>
      <c r="M11" s="244">
        <v>0</v>
      </c>
      <c r="N11" s="245">
        <v>0</v>
      </c>
      <c r="O11" s="241">
        <v>8.0000000000000004E-4</v>
      </c>
      <c r="P11" s="245">
        <v>3.58</v>
      </c>
      <c r="Q11" s="242">
        <v>0</v>
      </c>
      <c r="R11" s="243">
        <v>0</v>
      </c>
      <c r="S11" s="244">
        <v>6.8599999999999994E-2</v>
      </c>
      <c r="T11" s="243">
        <v>304.99</v>
      </c>
      <c r="U11" s="244">
        <v>2.2000000000000001E-3</v>
      </c>
      <c r="V11" s="245">
        <v>9.98</v>
      </c>
      <c r="W11" s="242">
        <v>1.0056</v>
      </c>
      <c r="X11" s="240">
        <v>4470.96</v>
      </c>
      <c r="Y11" s="246">
        <v>8917.2199999999993</v>
      </c>
    </row>
    <row r="12" spans="1:25" ht="12" customHeight="1" thickBot="1">
      <c r="A12" s="238" t="s">
        <v>64</v>
      </c>
      <c r="B12" s="243" t="s">
        <v>65</v>
      </c>
      <c r="C12" s="239" t="s">
        <v>58</v>
      </c>
      <c r="D12" s="240">
        <v>7925.53</v>
      </c>
      <c r="E12" s="241">
        <v>0.80179999999999996</v>
      </c>
      <c r="F12" s="240">
        <v>6354.69</v>
      </c>
      <c r="G12" s="244">
        <v>7.4099999999999999E-2</v>
      </c>
      <c r="H12" s="243">
        <v>587.4</v>
      </c>
      <c r="I12" s="242">
        <v>0</v>
      </c>
      <c r="J12" s="245">
        <v>0</v>
      </c>
      <c r="K12" s="242">
        <v>0</v>
      </c>
      <c r="L12" s="243">
        <v>0</v>
      </c>
      <c r="M12" s="244">
        <v>0</v>
      </c>
      <c r="N12" s="245">
        <v>0</v>
      </c>
      <c r="O12" s="241">
        <v>5.0000000000000001E-4</v>
      </c>
      <c r="P12" s="245">
        <v>3.58</v>
      </c>
      <c r="Q12" s="242">
        <v>0</v>
      </c>
      <c r="R12" s="243">
        <v>0</v>
      </c>
      <c r="S12" s="244">
        <v>3.85E-2</v>
      </c>
      <c r="T12" s="243">
        <v>304.99</v>
      </c>
      <c r="U12" s="244">
        <v>1.2999999999999999E-3</v>
      </c>
      <c r="V12" s="245">
        <v>9.98</v>
      </c>
      <c r="W12" s="244">
        <v>0.91610000000000003</v>
      </c>
      <c r="X12" s="240">
        <v>7260.65</v>
      </c>
      <c r="Y12" s="246">
        <v>15186.18</v>
      </c>
    </row>
    <row r="13" spans="1:25" ht="12" customHeight="1" thickBot="1">
      <c r="A13" s="238" t="s">
        <v>66</v>
      </c>
      <c r="B13" s="239" t="s">
        <v>67</v>
      </c>
      <c r="C13" s="239" t="s">
        <v>58</v>
      </c>
      <c r="D13" s="247">
        <v>10302</v>
      </c>
      <c r="E13" s="241">
        <v>0.79990000000000006</v>
      </c>
      <c r="F13" s="240">
        <v>8240.57</v>
      </c>
      <c r="G13" s="244">
        <v>5.7000000000000002E-2</v>
      </c>
      <c r="H13" s="243">
        <v>587.4</v>
      </c>
      <c r="I13" s="242">
        <v>3.7000000000000002E-3</v>
      </c>
      <c r="J13" s="243">
        <v>38.549999999999997</v>
      </c>
      <c r="K13" s="242">
        <v>0</v>
      </c>
      <c r="L13" s="243">
        <v>0</v>
      </c>
      <c r="M13" s="244">
        <v>0</v>
      </c>
      <c r="N13" s="245">
        <v>0</v>
      </c>
      <c r="O13" s="241">
        <v>2.9999999999999997E-4</v>
      </c>
      <c r="P13" s="245">
        <v>3.16</v>
      </c>
      <c r="Q13" s="242">
        <v>0</v>
      </c>
      <c r="R13" s="243">
        <v>0</v>
      </c>
      <c r="S13" s="244">
        <v>2.9600000000000001E-2</v>
      </c>
      <c r="T13" s="243">
        <v>304.99</v>
      </c>
      <c r="U13" s="244">
        <v>1E-3</v>
      </c>
      <c r="V13" s="245">
        <v>9.98</v>
      </c>
      <c r="W13" s="244">
        <v>0.89149999999999996</v>
      </c>
      <c r="X13" s="240">
        <v>9184.65</v>
      </c>
      <c r="Y13" s="246">
        <v>19486.650000000001</v>
      </c>
    </row>
    <row r="14" spans="1:25" ht="12" customHeight="1" thickBot="1">
      <c r="A14" s="238" t="s">
        <v>68</v>
      </c>
      <c r="B14" s="239" t="s">
        <v>69</v>
      </c>
      <c r="C14" s="239" t="s">
        <v>58</v>
      </c>
      <c r="D14" s="247">
        <v>11560.71</v>
      </c>
      <c r="E14" s="241">
        <v>0.79990000000000006</v>
      </c>
      <c r="F14" s="240">
        <v>9247.41</v>
      </c>
      <c r="G14" s="244">
        <v>5.0799999999999998E-2</v>
      </c>
      <c r="H14" s="243">
        <v>587.4</v>
      </c>
      <c r="I14" s="242">
        <v>3.3E-3</v>
      </c>
      <c r="J14" s="243">
        <v>38.549999999999997</v>
      </c>
      <c r="K14" s="242">
        <v>0</v>
      </c>
      <c r="L14" s="243">
        <v>0</v>
      </c>
      <c r="M14" s="244">
        <v>0</v>
      </c>
      <c r="N14" s="245">
        <v>0</v>
      </c>
      <c r="O14" s="241">
        <v>2.9999999999999997E-4</v>
      </c>
      <c r="P14" s="245">
        <v>3.16</v>
      </c>
      <c r="Q14" s="242">
        <v>0</v>
      </c>
      <c r="R14" s="243">
        <v>0</v>
      </c>
      <c r="S14" s="244">
        <v>2.64E-2</v>
      </c>
      <c r="T14" s="243">
        <v>304.99</v>
      </c>
      <c r="U14" s="244">
        <v>8.9999999999999998E-4</v>
      </c>
      <c r="V14" s="245">
        <v>9.98</v>
      </c>
      <c r="W14" s="244">
        <v>0.88160000000000005</v>
      </c>
      <c r="X14" s="247">
        <v>10191.49</v>
      </c>
      <c r="Y14" s="246">
        <v>21752.2</v>
      </c>
    </row>
    <row r="15" spans="1:25" ht="12" customHeight="1" thickBot="1">
      <c r="A15" s="238" t="s">
        <v>70</v>
      </c>
      <c r="B15" s="239" t="s">
        <v>71</v>
      </c>
      <c r="C15" s="239" t="s">
        <v>58</v>
      </c>
      <c r="D15" s="247">
        <v>12819.42</v>
      </c>
      <c r="E15" s="241">
        <v>0.79990000000000006</v>
      </c>
      <c r="F15" s="248">
        <v>10254.25</v>
      </c>
      <c r="G15" s="244">
        <v>4.58E-2</v>
      </c>
      <c r="H15" s="243">
        <v>587.4</v>
      </c>
      <c r="I15" s="242">
        <v>3.0000000000000001E-3</v>
      </c>
      <c r="J15" s="243">
        <v>38.549999999999997</v>
      </c>
      <c r="K15" s="242">
        <v>0</v>
      </c>
      <c r="L15" s="243">
        <v>0</v>
      </c>
      <c r="M15" s="244">
        <v>0</v>
      </c>
      <c r="N15" s="245">
        <v>0</v>
      </c>
      <c r="O15" s="241">
        <v>2.0000000000000001E-4</v>
      </c>
      <c r="P15" s="245">
        <v>3.16</v>
      </c>
      <c r="Q15" s="242">
        <v>0</v>
      </c>
      <c r="R15" s="243">
        <v>0</v>
      </c>
      <c r="S15" s="244">
        <v>2.3800000000000002E-2</v>
      </c>
      <c r="T15" s="243">
        <v>304.99</v>
      </c>
      <c r="U15" s="244">
        <v>8.0000000000000004E-4</v>
      </c>
      <c r="V15" s="245">
        <v>9.98</v>
      </c>
      <c r="W15" s="244">
        <v>0.87350000000000005</v>
      </c>
      <c r="X15" s="247">
        <v>11198.33</v>
      </c>
      <c r="Y15" s="246">
        <v>24017.75</v>
      </c>
    </row>
    <row r="16" spans="1:25" ht="12" customHeight="1" thickBot="1">
      <c r="A16" s="238" t="s">
        <v>72</v>
      </c>
      <c r="B16" s="239" t="s">
        <v>73</v>
      </c>
      <c r="C16" s="239" t="s">
        <v>58</v>
      </c>
      <c r="D16" s="240">
        <v>2392.67</v>
      </c>
      <c r="E16" s="241">
        <v>0.80879999999999996</v>
      </c>
      <c r="F16" s="240">
        <v>1935.19</v>
      </c>
      <c r="G16" s="242">
        <v>0.2455</v>
      </c>
      <c r="H16" s="243">
        <v>587.4</v>
      </c>
      <c r="I16" s="242">
        <v>1.61E-2</v>
      </c>
      <c r="J16" s="243">
        <v>38.549999999999997</v>
      </c>
      <c r="K16" s="242">
        <v>0</v>
      </c>
      <c r="L16" s="243">
        <v>0</v>
      </c>
      <c r="M16" s="244">
        <v>3.15E-2</v>
      </c>
      <c r="N16" s="245">
        <v>75.47</v>
      </c>
      <c r="O16" s="241">
        <v>1.6000000000000001E-3</v>
      </c>
      <c r="P16" s="245">
        <v>3.82</v>
      </c>
      <c r="Q16" s="242">
        <v>0</v>
      </c>
      <c r="R16" s="243">
        <v>0</v>
      </c>
      <c r="S16" s="242">
        <v>0.1275</v>
      </c>
      <c r="T16" s="243">
        <v>304.99</v>
      </c>
      <c r="U16" s="244">
        <v>4.1999999999999997E-3</v>
      </c>
      <c r="V16" s="245">
        <v>9.98</v>
      </c>
      <c r="W16" s="242">
        <v>1.2352000000000001</v>
      </c>
      <c r="X16" s="240">
        <v>2955.4</v>
      </c>
      <c r="Y16" s="246">
        <v>5348.06</v>
      </c>
    </row>
    <row r="17" spans="1:25" ht="12" customHeight="1" thickBot="1">
      <c r="A17" s="238" t="s">
        <v>74</v>
      </c>
      <c r="B17" s="239" t="s">
        <v>75</v>
      </c>
      <c r="C17" s="239" t="s">
        <v>58</v>
      </c>
      <c r="D17" s="240">
        <v>3190.22</v>
      </c>
      <c r="E17" s="241">
        <v>0.80879999999999996</v>
      </c>
      <c r="F17" s="240">
        <v>2580.25</v>
      </c>
      <c r="G17" s="242">
        <v>0.18410000000000001</v>
      </c>
      <c r="H17" s="243">
        <v>587.4</v>
      </c>
      <c r="I17" s="242">
        <v>1.21E-2</v>
      </c>
      <c r="J17" s="243">
        <v>38.549999999999997</v>
      </c>
      <c r="K17" s="242">
        <v>0</v>
      </c>
      <c r="L17" s="243">
        <v>0</v>
      </c>
      <c r="M17" s="244">
        <v>8.6999999999999994E-3</v>
      </c>
      <c r="N17" s="245">
        <v>27.62</v>
      </c>
      <c r="O17" s="241">
        <v>1.1999999999999999E-3</v>
      </c>
      <c r="P17" s="245">
        <v>3.82</v>
      </c>
      <c r="Q17" s="242">
        <v>0</v>
      </c>
      <c r="R17" s="243">
        <v>0</v>
      </c>
      <c r="S17" s="244">
        <v>9.5600000000000004E-2</v>
      </c>
      <c r="T17" s="243">
        <v>304.99</v>
      </c>
      <c r="U17" s="244">
        <v>3.0999999999999999E-3</v>
      </c>
      <c r="V17" s="245">
        <v>9.98</v>
      </c>
      <c r="W17" s="242">
        <v>1.1135999999999999</v>
      </c>
      <c r="X17" s="240">
        <v>3552.61</v>
      </c>
      <c r="Y17" s="246">
        <v>6742.83</v>
      </c>
    </row>
    <row r="18" spans="1:25" ht="12" customHeight="1" thickBot="1">
      <c r="A18" s="238" t="s">
        <v>76</v>
      </c>
      <c r="B18" s="239" t="s">
        <v>77</v>
      </c>
      <c r="C18" s="239" t="s">
        <v>58</v>
      </c>
      <c r="D18" s="240">
        <v>5668.34</v>
      </c>
      <c r="E18" s="241">
        <v>0.80879999999999996</v>
      </c>
      <c r="F18" s="240">
        <v>4584.55</v>
      </c>
      <c r="G18" s="242">
        <v>0.1036</v>
      </c>
      <c r="H18" s="243">
        <v>587.4</v>
      </c>
      <c r="I18" s="242">
        <v>6.7999999999999996E-3</v>
      </c>
      <c r="J18" s="243">
        <v>38.549999999999997</v>
      </c>
      <c r="K18" s="242">
        <v>0</v>
      </c>
      <c r="L18" s="243">
        <v>0</v>
      </c>
      <c r="M18" s="244">
        <v>0</v>
      </c>
      <c r="N18" s="245">
        <v>0</v>
      </c>
      <c r="O18" s="241">
        <v>6.9999999999999999E-4</v>
      </c>
      <c r="P18" s="245">
        <v>3.82</v>
      </c>
      <c r="Q18" s="242">
        <v>0</v>
      </c>
      <c r="R18" s="243">
        <v>0</v>
      </c>
      <c r="S18" s="244">
        <v>5.3800000000000001E-2</v>
      </c>
      <c r="T18" s="243">
        <v>304.99</v>
      </c>
      <c r="U18" s="244">
        <v>1.8E-3</v>
      </c>
      <c r="V18" s="245">
        <v>9.98</v>
      </c>
      <c r="W18" s="244">
        <v>0.97550000000000003</v>
      </c>
      <c r="X18" s="240">
        <v>5529.29</v>
      </c>
      <c r="Y18" s="246">
        <v>11197.62</v>
      </c>
    </row>
    <row r="19" spans="1:25" ht="12" customHeight="1" thickBot="1">
      <c r="A19" s="238" t="s">
        <v>78</v>
      </c>
      <c r="B19" s="239" t="s">
        <v>79</v>
      </c>
      <c r="C19" s="239" t="s">
        <v>58</v>
      </c>
      <c r="D19" s="240">
        <v>1322.9</v>
      </c>
      <c r="E19" s="241">
        <v>0.81279999999999997</v>
      </c>
      <c r="F19" s="240">
        <v>1075.26</v>
      </c>
      <c r="G19" s="242">
        <v>0.44400000000000001</v>
      </c>
      <c r="H19" s="243">
        <v>587.4</v>
      </c>
      <c r="I19" s="242">
        <v>0</v>
      </c>
      <c r="J19" s="245">
        <v>0</v>
      </c>
      <c r="K19" s="242">
        <v>1.8E-3</v>
      </c>
      <c r="L19" s="243">
        <v>2.44</v>
      </c>
      <c r="M19" s="242">
        <v>0.1056</v>
      </c>
      <c r="N19" s="243">
        <v>139.66</v>
      </c>
      <c r="O19" s="241">
        <v>5.0000000000000001E-3</v>
      </c>
      <c r="P19" s="245">
        <v>6.61</v>
      </c>
      <c r="Q19" s="242">
        <v>0</v>
      </c>
      <c r="R19" s="243">
        <v>0</v>
      </c>
      <c r="S19" s="242">
        <v>0.23050000000000001</v>
      </c>
      <c r="T19" s="243">
        <v>304.99</v>
      </c>
      <c r="U19" s="244">
        <v>7.4999999999999997E-3</v>
      </c>
      <c r="V19" s="245">
        <v>9.98</v>
      </c>
      <c r="W19" s="242">
        <v>1.6073</v>
      </c>
      <c r="X19" s="240">
        <v>2126.34</v>
      </c>
      <c r="Y19" s="246">
        <v>3449.24</v>
      </c>
    </row>
    <row r="20" spans="1:25" ht="12" customHeight="1" thickBot="1">
      <c r="A20" s="238" t="s">
        <v>80</v>
      </c>
      <c r="B20" s="239" t="s">
        <v>81</v>
      </c>
      <c r="C20" s="239" t="s">
        <v>58</v>
      </c>
      <c r="D20" s="240">
        <v>1591.33</v>
      </c>
      <c r="E20" s="241">
        <v>0.80700000000000005</v>
      </c>
      <c r="F20" s="240">
        <v>1284.21</v>
      </c>
      <c r="G20" s="242">
        <v>0.36909999999999998</v>
      </c>
      <c r="H20" s="243">
        <v>587.4</v>
      </c>
      <c r="I20" s="242">
        <v>0</v>
      </c>
      <c r="J20" s="245">
        <v>0</v>
      </c>
      <c r="K20" s="242">
        <v>0</v>
      </c>
      <c r="L20" s="243">
        <v>0</v>
      </c>
      <c r="M20" s="244">
        <v>7.7600000000000002E-2</v>
      </c>
      <c r="N20" s="243">
        <v>123.55</v>
      </c>
      <c r="O20" s="241">
        <v>2.3E-3</v>
      </c>
      <c r="P20" s="245">
        <v>3.7</v>
      </c>
      <c r="Q20" s="242">
        <v>0</v>
      </c>
      <c r="R20" s="243">
        <v>0</v>
      </c>
      <c r="S20" s="242">
        <v>0.19170000000000001</v>
      </c>
      <c r="T20" s="243">
        <v>304.99</v>
      </c>
      <c r="U20" s="244">
        <v>6.3E-3</v>
      </c>
      <c r="V20" s="245">
        <v>9.98</v>
      </c>
      <c r="W20" s="242">
        <v>1.454</v>
      </c>
      <c r="X20" s="240">
        <v>2313.83</v>
      </c>
      <c r="Y20" s="246">
        <v>3905.16</v>
      </c>
    </row>
    <row r="21" spans="1:25" ht="12" customHeight="1" thickBot="1">
      <c r="A21" s="238" t="s">
        <v>82</v>
      </c>
      <c r="B21" s="239" t="s">
        <v>83</v>
      </c>
      <c r="C21" s="239" t="s">
        <v>58</v>
      </c>
      <c r="D21" s="240">
        <v>1531.69</v>
      </c>
      <c r="E21" s="241">
        <v>0.80730000000000002</v>
      </c>
      <c r="F21" s="240">
        <v>1236.53</v>
      </c>
      <c r="G21" s="242">
        <v>0.38350000000000001</v>
      </c>
      <c r="H21" s="243">
        <v>587.4</v>
      </c>
      <c r="I21" s="242">
        <v>0</v>
      </c>
      <c r="J21" s="245">
        <v>0</v>
      </c>
      <c r="K21" s="242">
        <v>3.3E-3</v>
      </c>
      <c r="L21" s="243">
        <v>5.04</v>
      </c>
      <c r="M21" s="244">
        <v>8.3000000000000004E-2</v>
      </c>
      <c r="N21" s="243">
        <v>127.13</v>
      </c>
      <c r="O21" s="241">
        <v>2.8E-3</v>
      </c>
      <c r="P21" s="245">
        <v>4.2699999999999996</v>
      </c>
      <c r="Q21" s="242">
        <v>0</v>
      </c>
      <c r="R21" s="243">
        <v>0</v>
      </c>
      <c r="S21" s="242">
        <v>0.1991</v>
      </c>
      <c r="T21" s="243">
        <v>304.99</v>
      </c>
      <c r="U21" s="244">
        <v>6.4999999999999997E-3</v>
      </c>
      <c r="V21" s="245">
        <v>9.98</v>
      </c>
      <c r="W21" s="242">
        <v>1.4855</v>
      </c>
      <c r="X21" s="240">
        <v>2275.35</v>
      </c>
      <c r="Y21" s="246">
        <v>3807.04</v>
      </c>
    </row>
    <row r="22" spans="1:25" ht="12" customHeight="1" thickBot="1">
      <c r="A22" s="238" t="s">
        <v>84</v>
      </c>
      <c r="B22" s="239" t="s">
        <v>85</v>
      </c>
      <c r="C22" s="239" t="s">
        <v>58</v>
      </c>
      <c r="D22" s="240">
        <v>1322.9</v>
      </c>
      <c r="E22" s="241">
        <v>0.80789999999999995</v>
      </c>
      <c r="F22" s="240">
        <v>1068.77</v>
      </c>
      <c r="G22" s="242">
        <v>0.44400000000000001</v>
      </c>
      <c r="H22" s="243">
        <v>587.4</v>
      </c>
      <c r="I22" s="242">
        <v>3.4200000000000001E-2</v>
      </c>
      <c r="J22" s="243">
        <v>45.3</v>
      </c>
      <c r="K22" s="242">
        <v>1.6000000000000001E-3</v>
      </c>
      <c r="L22" s="243">
        <v>2.13</v>
      </c>
      <c r="M22" s="242">
        <v>0.1056</v>
      </c>
      <c r="N22" s="243">
        <v>139.66</v>
      </c>
      <c r="O22" s="241">
        <v>3.3E-3</v>
      </c>
      <c r="P22" s="245">
        <v>4.38</v>
      </c>
      <c r="Q22" s="242">
        <v>0</v>
      </c>
      <c r="R22" s="243">
        <v>0</v>
      </c>
      <c r="S22" s="242">
        <v>0.23050000000000001</v>
      </c>
      <c r="T22" s="243">
        <v>304.99</v>
      </c>
      <c r="U22" s="244">
        <v>7.4999999999999997E-3</v>
      </c>
      <c r="V22" s="245">
        <v>9.98</v>
      </c>
      <c r="W22" s="242">
        <v>1.6347</v>
      </c>
      <c r="X22" s="240">
        <v>2162.62</v>
      </c>
      <c r="Y22" s="246">
        <v>3485.52</v>
      </c>
    </row>
    <row r="23" spans="1:25" ht="12" customHeight="1" thickBot="1">
      <c r="A23" s="238" t="s">
        <v>86</v>
      </c>
      <c r="B23" s="239" t="s">
        <v>87</v>
      </c>
      <c r="C23" s="239" t="s">
        <v>58</v>
      </c>
      <c r="D23" s="240">
        <v>2874.4</v>
      </c>
      <c r="E23" s="241">
        <v>0.80259999999999998</v>
      </c>
      <c r="F23" s="240">
        <v>2306.9899999999998</v>
      </c>
      <c r="G23" s="242">
        <v>0.2044</v>
      </c>
      <c r="H23" s="243">
        <v>587.4</v>
      </c>
      <c r="I23" s="242">
        <v>1.34E-2</v>
      </c>
      <c r="J23" s="243">
        <v>38.549999999999997</v>
      </c>
      <c r="K23" s="242">
        <v>0</v>
      </c>
      <c r="L23" s="243">
        <v>0</v>
      </c>
      <c r="M23" s="244">
        <v>1.6199999999999999E-2</v>
      </c>
      <c r="N23" s="245">
        <v>46.57</v>
      </c>
      <c r="O23" s="241">
        <v>1.2999999999999999E-3</v>
      </c>
      <c r="P23" s="245">
        <v>3.68</v>
      </c>
      <c r="Q23" s="242">
        <v>0</v>
      </c>
      <c r="R23" s="243">
        <v>0</v>
      </c>
      <c r="S23" s="242">
        <v>0.1061</v>
      </c>
      <c r="T23" s="243">
        <v>304.99</v>
      </c>
      <c r="U23" s="244">
        <v>3.5000000000000001E-3</v>
      </c>
      <c r="V23" s="245">
        <v>9.98</v>
      </c>
      <c r="W23" s="242">
        <v>1.1474</v>
      </c>
      <c r="X23" s="240">
        <v>3298.16</v>
      </c>
      <c r="Y23" s="246">
        <v>6172.56</v>
      </c>
    </row>
    <row r="24" spans="1:25" ht="12" customHeight="1" thickBot="1">
      <c r="A24" s="238" t="s">
        <v>88</v>
      </c>
      <c r="B24" s="239" t="s">
        <v>89</v>
      </c>
      <c r="C24" s="239" t="s">
        <v>58</v>
      </c>
      <c r="D24" s="240">
        <v>3832.54</v>
      </c>
      <c r="E24" s="241">
        <v>0.80259999999999998</v>
      </c>
      <c r="F24" s="240">
        <v>3075.99</v>
      </c>
      <c r="G24" s="242">
        <v>0.15329999999999999</v>
      </c>
      <c r="H24" s="243">
        <v>587.4</v>
      </c>
      <c r="I24" s="242">
        <v>1.01E-2</v>
      </c>
      <c r="J24" s="243">
        <v>38.549999999999997</v>
      </c>
      <c r="K24" s="242">
        <v>0</v>
      </c>
      <c r="L24" s="243">
        <v>0</v>
      </c>
      <c r="M24" s="244">
        <v>0</v>
      </c>
      <c r="N24" s="245">
        <v>0</v>
      </c>
      <c r="O24" s="241">
        <v>1E-3</v>
      </c>
      <c r="P24" s="245">
        <v>3.68</v>
      </c>
      <c r="Q24" s="242">
        <v>0</v>
      </c>
      <c r="R24" s="243">
        <v>0</v>
      </c>
      <c r="S24" s="244">
        <v>7.9600000000000004E-2</v>
      </c>
      <c r="T24" s="243">
        <v>304.99</v>
      </c>
      <c r="U24" s="244">
        <v>2.5999999999999999E-3</v>
      </c>
      <c r="V24" s="245">
        <v>9.98</v>
      </c>
      <c r="W24" s="242">
        <v>1.0490999999999999</v>
      </c>
      <c r="X24" s="240">
        <v>4020.59</v>
      </c>
      <c r="Y24" s="246">
        <v>7853.13</v>
      </c>
    </row>
    <row r="25" spans="1:25" ht="12" customHeight="1" thickBot="1">
      <c r="A25" s="238" t="s">
        <v>90</v>
      </c>
      <c r="B25" s="239" t="s">
        <v>91</v>
      </c>
      <c r="C25" s="239" t="s">
        <v>58</v>
      </c>
      <c r="D25" s="240">
        <v>6331.14</v>
      </c>
      <c r="E25" s="241">
        <v>0.80259999999999998</v>
      </c>
      <c r="F25" s="240">
        <v>5081.37</v>
      </c>
      <c r="G25" s="244">
        <v>9.2799999999999994E-2</v>
      </c>
      <c r="H25" s="243">
        <v>587.4</v>
      </c>
      <c r="I25" s="242">
        <v>6.1000000000000004E-3</v>
      </c>
      <c r="J25" s="243">
        <v>38.549999999999997</v>
      </c>
      <c r="K25" s="242">
        <v>0</v>
      </c>
      <c r="L25" s="243">
        <v>0</v>
      </c>
      <c r="M25" s="244">
        <v>0</v>
      </c>
      <c r="N25" s="245">
        <v>0</v>
      </c>
      <c r="O25" s="241">
        <v>5.9999999999999995E-4</v>
      </c>
      <c r="P25" s="245">
        <v>3.68</v>
      </c>
      <c r="Q25" s="242">
        <v>0</v>
      </c>
      <c r="R25" s="243">
        <v>0</v>
      </c>
      <c r="S25" s="244">
        <v>4.82E-2</v>
      </c>
      <c r="T25" s="243">
        <v>304.99</v>
      </c>
      <c r="U25" s="244">
        <v>1.6000000000000001E-3</v>
      </c>
      <c r="V25" s="245">
        <v>9.98</v>
      </c>
      <c r="W25" s="244">
        <v>0.95179999999999998</v>
      </c>
      <c r="X25" s="240">
        <v>6025.97</v>
      </c>
      <c r="Y25" s="246">
        <v>12357.1</v>
      </c>
    </row>
    <row r="26" spans="1:25" ht="12" customHeight="1" thickBot="1">
      <c r="A26" s="238" t="s">
        <v>20</v>
      </c>
      <c r="B26" s="239" t="s">
        <v>92</v>
      </c>
      <c r="C26" s="239" t="s">
        <v>58</v>
      </c>
      <c r="D26" s="240">
        <v>3782.95</v>
      </c>
      <c r="E26" s="241">
        <v>0.80269999999999997</v>
      </c>
      <c r="F26" s="240">
        <v>3036.57</v>
      </c>
      <c r="G26" s="242">
        <v>0.15529999999999999</v>
      </c>
      <c r="H26" s="243">
        <v>587.4</v>
      </c>
      <c r="I26" s="242">
        <v>0</v>
      </c>
      <c r="J26" s="245">
        <v>0</v>
      </c>
      <c r="K26" s="242">
        <v>0</v>
      </c>
      <c r="L26" s="243">
        <v>0</v>
      </c>
      <c r="M26" s="244">
        <v>0</v>
      </c>
      <c r="N26" s="245">
        <v>0</v>
      </c>
      <c r="O26" s="241">
        <v>8.9999999999999998E-4</v>
      </c>
      <c r="P26" s="245">
        <v>3.31</v>
      </c>
      <c r="Q26" s="242">
        <v>0</v>
      </c>
      <c r="R26" s="243">
        <v>0</v>
      </c>
      <c r="S26" s="244">
        <v>8.0600000000000005E-2</v>
      </c>
      <c r="T26" s="243">
        <v>304.99</v>
      </c>
      <c r="U26" s="244">
        <v>2.5999999999999999E-3</v>
      </c>
      <c r="V26" s="245">
        <v>9.98</v>
      </c>
      <c r="W26" s="242">
        <v>1.0421</v>
      </c>
      <c r="X26" s="240">
        <v>3942.25</v>
      </c>
      <c r="Y26" s="246">
        <v>7725.2</v>
      </c>
    </row>
    <row r="27" spans="1:25" ht="12" customHeight="1" thickBot="1">
      <c r="A27" s="238" t="s">
        <v>93</v>
      </c>
      <c r="B27" s="239" t="s">
        <v>94</v>
      </c>
      <c r="C27" s="239" t="s">
        <v>58</v>
      </c>
      <c r="D27" s="240">
        <v>3516.09</v>
      </c>
      <c r="E27" s="241">
        <v>0.80230000000000001</v>
      </c>
      <c r="F27" s="240">
        <v>2820.96</v>
      </c>
      <c r="G27" s="242">
        <v>0.1671</v>
      </c>
      <c r="H27" s="243">
        <v>587.4</v>
      </c>
      <c r="I27" s="242">
        <v>0</v>
      </c>
      <c r="J27" s="245">
        <v>0</v>
      </c>
      <c r="K27" s="242">
        <v>0</v>
      </c>
      <c r="L27" s="243">
        <v>0</v>
      </c>
      <c r="M27" s="244">
        <v>2.3E-3</v>
      </c>
      <c r="N27" s="245">
        <v>8.07</v>
      </c>
      <c r="O27" s="241">
        <v>8.9999999999999998E-4</v>
      </c>
      <c r="P27" s="245">
        <v>3.24</v>
      </c>
      <c r="Q27" s="242">
        <v>0</v>
      </c>
      <c r="R27" s="243">
        <v>0</v>
      </c>
      <c r="S27" s="244">
        <v>8.6699999999999999E-2</v>
      </c>
      <c r="T27" s="243">
        <v>304.99</v>
      </c>
      <c r="U27" s="244">
        <v>2.8E-3</v>
      </c>
      <c r="V27" s="245">
        <v>9.98</v>
      </c>
      <c r="W27" s="242">
        <v>1.0622</v>
      </c>
      <c r="X27" s="240">
        <v>3734.64</v>
      </c>
      <c r="Y27" s="246">
        <v>7250.73</v>
      </c>
    </row>
    <row r="28" spans="1:25" ht="12" customHeight="1" thickBot="1">
      <c r="A28" s="229" t="s">
        <v>95</v>
      </c>
      <c r="B28" s="230" t="s">
        <v>96</v>
      </c>
      <c r="C28" s="230" t="s">
        <v>58</v>
      </c>
      <c r="D28" s="231">
        <v>4688.12</v>
      </c>
      <c r="E28" s="232">
        <v>0.80230000000000001</v>
      </c>
      <c r="F28" s="231">
        <v>3761.28</v>
      </c>
      <c r="G28" s="233">
        <v>0.12529999999999999</v>
      </c>
      <c r="H28" s="234">
        <v>587.4</v>
      </c>
      <c r="I28" s="233">
        <v>0</v>
      </c>
      <c r="J28" s="236">
        <v>0</v>
      </c>
      <c r="K28" s="233">
        <v>0</v>
      </c>
      <c r="L28" s="234">
        <v>0</v>
      </c>
      <c r="M28" s="235">
        <v>0</v>
      </c>
      <c r="N28" s="236">
        <v>0</v>
      </c>
      <c r="O28" s="232">
        <v>6.9999999999999999E-4</v>
      </c>
      <c r="P28" s="236">
        <v>3.24</v>
      </c>
      <c r="Q28" s="233">
        <v>0</v>
      </c>
      <c r="R28" s="234">
        <v>0</v>
      </c>
      <c r="S28" s="235">
        <v>6.5100000000000005E-2</v>
      </c>
      <c r="T28" s="234">
        <v>304.99</v>
      </c>
      <c r="U28" s="235">
        <v>2.0999999999999999E-3</v>
      </c>
      <c r="V28" s="236">
        <v>9.98</v>
      </c>
      <c r="W28" s="235">
        <v>0.99550000000000005</v>
      </c>
      <c r="X28" s="231">
        <v>4666.8900000000003</v>
      </c>
      <c r="Y28" s="237">
        <v>9355.01</v>
      </c>
    </row>
    <row r="29" spans="1:25" ht="12" customHeight="1" thickBot="1">
      <c r="A29" s="238" t="s">
        <v>97</v>
      </c>
      <c r="B29" s="239" t="s">
        <v>98</v>
      </c>
      <c r="C29" s="239" t="s">
        <v>58</v>
      </c>
      <c r="D29" s="240">
        <v>8655.31</v>
      </c>
      <c r="E29" s="241">
        <v>0.80230000000000001</v>
      </c>
      <c r="F29" s="240">
        <v>6944.16</v>
      </c>
      <c r="G29" s="244">
        <v>6.7900000000000002E-2</v>
      </c>
      <c r="H29" s="243">
        <v>587.4</v>
      </c>
      <c r="I29" s="242">
        <v>0</v>
      </c>
      <c r="J29" s="245">
        <v>0</v>
      </c>
      <c r="K29" s="242">
        <v>0</v>
      </c>
      <c r="L29" s="243">
        <v>0</v>
      </c>
      <c r="M29" s="244">
        <v>0</v>
      </c>
      <c r="N29" s="245">
        <v>0</v>
      </c>
      <c r="O29" s="241">
        <v>4.0000000000000002E-4</v>
      </c>
      <c r="P29" s="245">
        <v>3.24</v>
      </c>
      <c r="Q29" s="242">
        <v>0</v>
      </c>
      <c r="R29" s="243">
        <v>0</v>
      </c>
      <c r="S29" s="244">
        <v>3.5200000000000002E-2</v>
      </c>
      <c r="T29" s="243">
        <v>304.99</v>
      </c>
      <c r="U29" s="244">
        <v>1.1999999999999999E-3</v>
      </c>
      <c r="V29" s="245">
        <v>9.98</v>
      </c>
      <c r="W29" s="244">
        <v>0.90690000000000004</v>
      </c>
      <c r="X29" s="240">
        <v>7849.77</v>
      </c>
      <c r="Y29" s="246">
        <v>16505.080000000002</v>
      </c>
    </row>
    <row r="30" spans="1:25" ht="12" customHeight="1" thickBot="1">
      <c r="A30" s="238" t="s">
        <v>99</v>
      </c>
      <c r="B30" s="239" t="s">
        <v>100</v>
      </c>
      <c r="C30" s="239" t="s">
        <v>58</v>
      </c>
      <c r="D30" s="247">
        <v>14909.62</v>
      </c>
      <c r="E30" s="241">
        <v>0.79990000000000006</v>
      </c>
      <c r="F30" s="248">
        <v>11926.21</v>
      </c>
      <c r="G30" s="244">
        <v>3.9399999999999998E-2</v>
      </c>
      <c r="H30" s="243">
        <v>587.4</v>
      </c>
      <c r="I30" s="242">
        <v>0</v>
      </c>
      <c r="J30" s="245">
        <v>0</v>
      </c>
      <c r="K30" s="242">
        <v>0</v>
      </c>
      <c r="L30" s="243">
        <v>0</v>
      </c>
      <c r="M30" s="244">
        <v>0</v>
      </c>
      <c r="N30" s="245">
        <v>0</v>
      </c>
      <c r="O30" s="241">
        <v>2.0000000000000001E-4</v>
      </c>
      <c r="P30" s="245">
        <v>2.5099999999999998</v>
      </c>
      <c r="Q30" s="242">
        <v>0</v>
      </c>
      <c r="R30" s="243">
        <v>0</v>
      </c>
      <c r="S30" s="244">
        <v>2.0500000000000001E-2</v>
      </c>
      <c r="T30" s="243">
        <v>304.99</v>
      </c>
      <c r="U30" s="244">
        <v>6.9999999999999999E-4</v>
      </c>
      <c r="V30" s="245">
        <v>9.98</v>
      </c>
      <c r="W30" s="244">
        <v>0.86060000000000003</v>
      </c>
      <c r="X30" s="247">
        <v>12831.09</v>
      </c>
      <c r="Y30" s="246">
        <v>27740.720000000001</v>
      </c>
    </row>
    <row r="31" spans="1:25" ht="12" customHeight="1" thickBot="1">
      <c r="A31" s="238" t="s">
        <v>101</v>
      </c>
      <c r="B31" s="239" t="s">
        <v>102</v>
      </c>
      <c r="C31" s="239" t="s">
        <v>58</v>
      </c>
      <c r="D31" s="240">
        <v>4457.82</v>
      </c>
      <c r="E31" s="241">
        <v>0.79990000000000006</v>
      </c>
      <c r="F31" s="240">
        <v>3565.81</v>
      </c>
      <c r="G31" s="242">
        <v>0.1318</v>
      </c>
      <c r="H31" s="243">
        <v>587.4</v>
      </c>
      <c r="I31" s="242">
        <v>0</v>
      </c>
      <c r="J31" s="245">
        <v>0</v>
      </c>
      <c r="K31" s="242">
        <v>0</v>
      </c>
      <c r="L31" s="243">
        <v>0</v>
      </c>
      <c r="M31" s="244">
        <v>0</v>
      </c>
      <c r="N31" s="245">
        <v>0</v>
      </c>
      <c r="O31" s="241">
        <v>5.9999999999999995E-4</v>
      </c>
      <c r="P31" s="245">
        <v>2.68</v>
      </c>
      <c r="Q31" s="242">
        <v>0</v>
      </c>
      <c r="R31" s="243">
        <v>0</v>
      </c>
      <c r="S31" s="244">
        <v>6.8400000000000002E-2</v>
      </c>
      <c r="T31" s="243">
        <v>304.99</v>
      </c>
      <c r="U31" s="244">
        <v>2.2000000000000001E-3</v>
      </c>
      <c r="V31" s="245">
        <v>9.98</v>
      </c>
      <c r="W31" s="242">
        <v>1.0028999999999999</v>
      </c>
      <c r="X31" s="240">
        <v>4470.87</v>
      </c>
      <c r="Y31" s="246">
        <v>8928.68</v>
      </c>
    </row>
    <row r="32" spans="1:25" ht="12" customHeight="1" thickBot="1">
      <c r="A32" s="238" t="s">
        <v>103</v>
      </c>
      <c r="B32" s="239" t="s">
        <v>104</v>
      </c>
      <c r="C32" s="239" t="s">
        <v>58</v>
      </c>
      <c r="D32" s="240">
        <v>5943.76</v>
      </c>
      <c r="E32" s="241">
        <v>0.79990000000000006</v>
      </c>
      <c r="F32" s="240">
        <v>4754.41</v>
      </c>
      <c r="G32" s="244">
        <v>9.8799999999999999E-2</v>
      </c>
      <c r="H32" s="243">
        <v>587.4</v>
      </c>
      <c r="I32" s="242">
        <v>0</v>
      </c>
      <c r="J32" s="245">
        <v>0</v>
      </c>
      <c r="K32" s="242">
        <v>0</v>
      </c>
      <c r="L32" s="243">
        <v>0</v>
      </c>
      <c r="M32" s="244">
        <v>0</v>
      </c>
      <c r="N32" s="245">
        <v>0</v>
      </c>
      <c r="O32" s="241">
        <v>5.0000000000000001E-4</v>
      </c>
      <c r="P32" s="245">
        <v>2.68</v>
      </c>
      <c r="Q32" s="242">
        <v>0</v>
      </c>
      <c r="R32" s="243">
        <v>0</v>
      </c>
      <c r="S32" s="244">
        <v>5.1299999999999998E-2</v>
      </c>
      <c r="T32" s="243">
        <v>304.99</v>
      </c>
      <c r="U32" s="244">
        <v>1.6999999999999999E-3</v>
      </c>
      <c r="V32" s="245">
        <v>9.98</v>
      </c>
      <c r="W32" s="244">
        <v>0.95220000000000005</v>
      </c>
      <c r="X32" s="240">
        <v>5659.47</v>
      </c>
      <c r="Y32" s="246">
        <v>11603.23</v>
      </c>
    </row>
    <row r="33" spans="1:25" ht="12" customHeight="1" thickBot="1">
      <c r="A33" s="238" t="s">
        <v>105</v>
      </c>
      <c r="B33" s="239" t="s">
        <v>106</v>
      </c>
      <c r="C33" s="239" t="s">
        <v>58</v>
      </c>
      <c r="D33" s="247">
        <v>11421.4</v>
      </c>
      <c r="E33" s="241">
        <v>0.79990000000000006</v>
      </c>
      <c r="F33" s="240">
        <v>9135.98</v>
      </c>
      <c r="G33" s="244">
        <v>5.1400000000000001E-2</v>
      </c>
      <c r="H33" s="243">
        <v>587.4</v>
      </c>
      <c r="I33" s="242">
        <v>0</v>
      </c>
      <c r="J33" s="245">
        <v>0</v>
      </c>
      <c r="K33" s="242">
        <v>0</v>
      </c>
      <c r="L33" s="243">
        <v>0</v>
      </c>
      <c r="M33" s="244">
        <v>0</v>
      </c>
      <c r="N33" s="245">
        <v>0</v>
      </c>
      <c r="O33" s="241">
        <v>2.0000000000000001E-4</v>
      </c>
      <c r="P33" s="245">
        <v>2.68</v>
      </c>
      <c r="Q33" s="242">
        <v>0</v>
      </c>
      <c r="R33" s="243">
        <v>0</v>
      </c>
      <c r="S33" s="244">
        <v>2.6700000000000002E-2</v>
      </c>
      <c r="T33" s="243">
        <v>304.99</v>
      </c>
      <c r="U33" s="244">
        <v>8.9999999999999998E-4</v>
      </c>
      <c r="V33" s="245">
        <v>9.98</v>
      </c>
      <c r="W33" s="244">
        <v>0.87909999999999999</v>
      </c>
      <c r="X33" s="247">
        <v>10041.040000000001</v>
      </c>
      <c r="Y33" s="246">
        <v>21462.44</v>
      </c>
    </row>
    <row r="34" spans="1:25" ht="10.9" customHeight="1">
      <c r="A34" s="423" t="s">
        <v>109</v>
      </c>
      <c r="B34" s="423" t="s">
        <v>110</v>
      </c>
      <c r="C34" s="423" t="s">
        <v>111</v>
      </c>
      <c r="D34" s="423" t="s">
        <v>112</v>
      </c>
      <c r="E34" s="423" t="s">
        <v>113</v>
      </c>
      <c r="F34" s="423" t="s">
        <v>114</v>
      </c>
      <c r="G34" s="428" t="s">
        <v>115</v>
      </c>
      <c r="H34" s="429"/>
      <c r="I34" s="429"/>
      <c r="J34" s="429"/>
      <c r="K34" s="429"/>
      <c r="L34" s="429"/>
      <c r="M34" s="429"/>
      <c r="N34" s="429"/>
      <c r="O34" s="429"/>
      <c r="P34" s="430"/>
      <c r="Q34" s="428" t="s">
        <v>116</v>
      </c>
      <c r="R34" s="429"/>
      <c r="S34" s="429"/>
      <c r="T34" s="429"/>
      <c r="U34" s="429"/>
      <c r="V34" s="430"/>
      <c r="W34" s="419" t="s">
        <v>117</v>
      </c>
      <c r="X34" s="420"/>
      <c r="Y34" s="423" t="s">
        <v>118</v>
      </c>
    </row>
    <row r="35" spans="1:25" ht="19.899999999999999" customHeight="1">
      <c r="A35" s="427"/>
      <c r="B35" s="427"/>
      <c r="C35" s="427"/>
      <c r="D35" s="427"/>
      <c r="E35" s="427"/>
      <c r="F35" s="427"/>
      <c r="G35" s="425" t="s">
        <v>119</v>
      </c>
      <c r="H35" s="426"/>
      <c r="I35" s="425" t="s">
        <v>120</v>
      </c>
      <c r="J35" s="426"/>
      <c r="K35" s="425" t="s">
        <v>121</v>
      </c>
      <c r="L35" s="426"/>
      <c r="M35" s="425" t="s">
        <v>122</v>
      </c>
      <c r="N35" s="426"/>
      <c r="O35" s="425" t="s">
        <v>123</v>
      </c>
      <c r="P35" s="426"/>
      <c r="Q35" s="425" t="s">
        <v>124</v>
      </c>
      <c r="R35" s="426"/>
      <c r="S35" s="425" t="s">
        <v>125</v>
      </c>
      <c r="T35" s="426"/>
      <c r="U35" s="425" t="s">
        <v>126</v>
      </c>
      <c r="V35" s="426"/>
      <c r="W35" s="421"/>
      <c r="X35" s="422"/>
      <c r="Y35" s="424"/>
    </row>
    <row r="36" spans="1:25" ht="13.15" customHeight="1" thickBot="1">
      <c r="A36" s="424"/>
      <c r="B36" s="424"/>
      <c r="C36" s="424"/>
      <c r="D36" s="424"/>
      <c r="E36" s="424"/>
      <c r="F36" s="424"/>
      <c r="G36" s="5" t="s">
        <v>127</v>
      </c>
      <c r="H36" s="5" t="s">
        <v>128</v>
      </c>
      <c r="I36" s="5" t="s">
        <v>127</v>
      </c>
      <c r="J36" s="5" t="s">
        <v>128</v>
      </c>
      <c r="K36" s="5" t="s">
        <v>127</v>
      </c>
      <c r="L36" s="5" t="s">
        <v>128</v>
      </c>
      <c r="M36" s="5" t="s">
        <v>127</v>
      </c>
      <c r="N36" s="5" t="s">
        <v>128</v>
      </c>
      <c r="O36" s="5" t="s">
        <v>127</v>
      </c>
      <c r="P36" s="5" t="s">
        <v>128</v>
      </c>
      <c r="Q36" s="5" t="s">
        <v>127</v>
      </c>
      <c r="R36" s="5" t="s">
        <v>128</v>
      </c>
      <c r="S36" s="5" t="s">
        <v>127</v>
      </c>
      <c r="T36" s="5" t="s">
        <v>128</v>
      </c>
      <c r="U36" s="5" t="s">
        <v>127</v>
      </c>
      <c r="V36" s="5" t="s">
        <v>128</v>
      </c>
      <c r="W36" s="5" t="s">
        <v>127</v>
      </c>
      <c r="X36" s="5" t="s">
        <v>128</v>
      </c>
      <c r="Y36" s="5" t="s">
        <v>128</v>
      </c>
    </row>
    <row r="37" spans="1:25" ht="12" customHeight="1" thickBot="1">
      <c r="A37" s="229" t="s">
        <v>107</v>
      </c>
      <c r="B37" s="230" t="s">
        <v>108</v>
      </c>
      <c r="C37" s="230" t="s">
        <v>58</v>
      </c>
      <c r="D37" s="249">
        <v>10302</v>
      </c>
      <c r="E37" s="232">
        <v>0.88819999999999999</v>
      </c>
      <c r="F37" s="231">
        <v>9150.24</v>
      </c>
      <c r="G37" s="235">
        <v>5.7000000000000002E-2</v>
      </c>
      <c r="H37" s="234">
        <v>587.4</v>
      </c>
      <c r="I37" s="233">
        <v>3.7000000000000002E-3</v>
      </c>
      <c r="J37" s="234">
        <v>38.549999999999997</v>
      </c>
      <c r="K37" s="233">
        <v>0</v>
      </c>
      <c r="L37" s="234">
        <v>0</v>
      </c>
      <c r="M37" s="235">
        <v>0</v>
      </c>
      <c r="N37" s="236">
        <v>0</v>
      </c>
      <c r="O37" s="232">
        <v>2.9999999999999997E-4</v>
      </c>
      <c r="P37" s="236">
        <v>2.88</v>
      </c>
      <c r="Q37" s="233">
        <v>0</v>
      </c>
      <c r="R37" s="234">
        <v>0</v>
      </c>
      <c r="S37" s="235">
        <v>2.9600000000000001E-2</v>
      </c>
      <c r="T37" s="234">
        <v>304.99</v>
      </c>
      <c r="U37" s="235">
        <v>1E-3</v>
      </c>
      <c r="V37" s="236">
        <v>9.98</v>
      </c>
      <c r="W37" s="235">
        <v>0.9798</v>
      </c>
      <c r="X37" s="249">
        <v>10094.040000000001</v>
      </c>
      <c r="Y37" s="237">
        <v>20396.04</v>
      </c>
    </row>
    <row r="38" spans="1:25" ht="12" customHeight="1" thickBot="1">
      <c r="A38" s="238" t="s">
        <v>129</v>
      </c>
      <c r="B38" s="239" t="s">
        <v>130</v>
      </c>
      <c r="C38" s="239" t="s">
        <v>58</v>
      </c>
      <c r="D38" s="247">
        <v>10492.41</v>
      </c>
      <c r="E38" s="241">
        <v>0.88819999999999999</v>
      </c>
      <c r="F38" s="240">
        <v>9319.36</v>
      </c>
      <c r="G38" s="244">
        <v>5.6000000000000001E-2</v>
      </c>
      <c r="H38" s="243">
        <v>587.4</v>
      </c>
      <c r="I38" s="242">
        <v>3.7000000000000002E-3</v>
      </c>
      <c r="J38" s="243">
        <v>38.549999999999997</v>
      </c>
      <c r="K38" s="242">
        <v>0</v>
      </c>
      <c r="L38" s="243">
        <v>0</v>
      </c>
      <c r="M38" s="244">
        <v>0</v>
      </c>
      <c r="N38" s="245">
        <v>0</v>
      </c>
      <c r="O38" s="241">
        <v>2.9999999999999997E-4</v>
      </c>
      <c r="P38" s="245">
        <v>2.88</v>
      </c>
      <c r="Q38" s="242">
        <v>0</v>
      </c>
      <c r="R38" s="243">
        <v>0</v>
      </c>
      <c r="S38" s="244">
        <v>2.9100000000000001E-2</v>
      </c>
      <c r="T38" s="243">
        <v>304.99</v>
      </c>
      <c r="U38" s="244">
        <v>1E-3</v>
      </c>
      <c r="V38" s="245">
        <v>9.98</v>
      </c>
      <c r="W38" s="244">
        <v>0.97819999999999996</v>
      </c>
      <c r="X38" s="247">
        <v>10263.16</v>
      </c>
      <c r="Y38" s="246">
        <v>20755.560000000001</v>
      </c>
    </row>
    <row r="39" spans="1:25" ht="12" customHeight="1" thickBot="1">
      <c r="A39" s="238" t="s">
        <v>131</v>
      </c>
      <c r="B39" s="239" t="s">
        <v>132</v>
      </c>
      <c r="C39" s="239" t="s">
        <v>58</v>
      </c>
      <c r="D39" s="247">
        <v>13201.2</v>
      </c>
      <c r="E39" s="241">
        <v>0.88819999999999999</v>
      </c>
      <c r="F39" s="248">
        <v>11725.31</v>
      </c>
      <c r="G39" s="244">
        <v>4.4499999999999998E-2</v>
      </c>
      <c r="H39" s="243">
        <v>587.4</v>
      </c>
      <c r="I39" s="242">
        <v>2.8999999999999998E-3</v>
      </c>
      <c r="J39" s="243">
        <v>38.549999999999997</v>
      </c>
      <c r="K39" s="242">
        <v>0</v>
      </c>
      <c r="L39" s="243">
        <v>0</v>
      </c>
      <c r="M39" s="244">
        <v>0</v>
      </c>
      <c r="N39" s="245">
        <v>0</v>
      </c>
      <c r="O39" s="241">
        <v>2.0000000000000001E-4</v>
      </c>
      <c r="P39" s="245">
        <v>2.88</v>
      </c>
      <c r="Q39" s="242">
        <v>0</v>
      </c>
      <c r="R39" s="243">
        <v>0</v>
      </c>
      <c r="S39" s="244">
        <v>2.3099999999999999E-2</v>
      </c>
      <c r="T39" s="243">
        <v>304.99</v>
      </c>
      <c r="U39" s="244">
        <v>8.0000000000000004E-4</v>
      </c>
      <c r="V39" s="245">
        <v>9.98</v>
      </c>
      <c r="W39" s="244">
        <v>0.9597</v>
      </c>
      <c r="X39" s="247">
        <v>12669.11</v>
      </c>
      <c r="Y39" s="246">
        <v>25870.31</v>
      </c>
    </row>
    <row r="40" spans="1:25" ht="12" customHeight="1" thickBot="1">
      <c r="A40" s="238" t="s">
        <v>133</v>
      </c>
      <c r="B40" s="239" t="s">
        <v>134</v>
      </c>
      <c r="C40" s="239" t="s">
        <v>58</v>
      </c>
      <c r="D40" s="247">
        <v>10302</v>
      </c>
      <c r="E40" s="241">
        <v>0.79579999999999995</v>
      </c>
      <c r="F40" s="240">
        <v>8198.33</v>
      </c>
      <c r="G40" s="244">
        <v>5.7000000000000002E-2</v>
      </c>
      <c r="H40" s="243">
        <v>587.4</v>
      </c>
      <c r="I40" s="242">
        <v>3.7000000000000002E-3</v>
      </c>
      <c r="J40" s="243">
        <v>38.549999999999997</v>
      </c>
      <c r="K40" s="242">
        <v>0</v>
      </c>
      <c r="L40" s="243">
        <v>0</v>
      </c>
      <c r="M40" s="244">
        <v>0</v>
      </c>
      <c r="N40" s="245">
        <v>0</v>
      </c>
      <c r="O40" s="241">
        <v>2.0000000000000001E-4</v>
      </c>
      <c r="P40" s="245">
        <v>2.06</v>
      </c>
      <c r="Q40" s="242">
        <v>0</v>
      </c>
      <c r="R40" s="243">
        <v>0</v>
      </c>
      <c r="S40" s="244">
        <v>2.9600000000000001E-2</v>
      </c>
      <c r="T40" s="243">
        <v>304.99</v>
      </c>
      <c r="U40" s="244">
        <v>1E-3</v>
      </c>
      <c r="V40" s="245">
        <v>9.98</v>
      </c>
      <c r="W40" s="244">
        <v>0.88729999999999998</v>
      </c>
      <c r="X40" s="240">
        <v>9141.31</v>
      </c>
      <c r="Y40" s="246">
        <v>19443.310000000001</v>
      </c>
    </row>
    <row r="41" spans="1:25" ht="12" customHeight="1" thickBot="1">
      <c r="A41" s="238" t="s">
        <v>135</v>
      </c>
      <c r="B41" s="239" t="s">
        <v>136</v>
      </c>
      <c r="C41" s="239" t="s">
        <v>58</v>
      </c>
      <c r="D41" s="247">
        <v>10789</v>
      </c>
      <c r="E41" s="241">
        <v>0.79579999999999995</v>
      </c>
      <c r="F41" s="240">
        <v>8585.89</v>
      </c>
      <c r="G41" s="244">
        <v>5.4399999999999997E-2</v>
      </c>
      <c r="H41" s="243">
        <v>587.4</v>
      </c>
      <c r="I41" s="242">
        <v>3.5999999999999999E-3</v>
      </c>
      <c r="J41" s="243">
        <v>38.549999999999997</v>
      </c>
      <c r="K41" s="242">
        <v>0</v>
      </c>
      <c r="L41" s="243">
        <v>0</v>
      </c>
      <c r="M41" s="244">
        <v>0</v>
      </c>
      <c r="N41" s="245">
        <v>0</v>
      </c>
      <c r="O41" s="241">
        <v>2.0000000000000001E-4</v>
      </c>
      <c r="P41" s="245">
        <v>2.06</v>
      </c>
      <c r="Q41" s="242">
        <v>0</v>
      </c>
      <c r="R41" s="243">
        <v>0</v>
      </c>
      <c r="S41" s="244">
        <v>2.8299999999999999E-2</v>
      </c>
      <c r="T41" s="243">
        <v>304.99</v>
      </c>
      <c r="U41" s="244">
        <v>8.9999999999999998E-4</v>
      </c>
      <c r="V41" s="245">
        <v>9.98</v>
      </c>
      <c r="W41" s="244">
        <v>0.88319999999999999</v>
      </c>
      <c r="X41" s="240">
        <v>9528.8700000000008</v>
      </c>
      <c r="Y41" s="246">
        <v>20317.87</v>
      </c>
    </row>
    <row r="42" spans="1:25" ht="12" customHeight="1" thickBot="1">
      <c r="A42" s="238" t="s">
        <v>137</v>
      </c>
      <c r="B42" s="239" t="s">
        <v>138</v>
      </c>
      <c r="C42" s="239" t="s">
        <v>58</v>
      </c>
      <c r="D42" s="247">
        <v>12520.97</v>
      </c>
      <c r="E42" s="241">
        <v>0.79579999999999995</v>
      </c>
      <c r="F42" s="240">
        <v>9964.19</v>
      </c>
      <c r="G42" s="244">
        <v>4.6899999999999997E-2</v>
      </c>
      <c r="H42" s="243">
        <v>587.4</v>
      </c>
      <c r="I42" s="242">
        <v>3.0999999999999999E-3</v>
      </c>
      <c r="J42" s="243">
        <v>38.549999999999997</v>
      </c>
      <c r="K42" s="242">
        <v>0</v>
      </c>
      <c r="L42" s="243">
        <v>0</v>
      </c>
      <c r="M42" s="244">
        <v>0</v>
      </c>
      <c r="N42" s="245">
        <v>0</v>
      </c>
      <c r="O42" s="241">
        <v>2.0000000000000001E-4</v>
      </c>
      <c r="P42" s="245">
        <v>2.06</v>
      </c>
      <c r="Q42" s="242">
        <v>0</v>
      </c>
      <c r="R42" s="243">
        <v>0</v>
      </c>
      <c r="S42" s="244">
        <v>2.4400000000000002E-2</v>
      </c>
      <c r="T42" s="243">
        <v>304.99</v>
      </c>
      <c r="U42" s="244">
        <v>8.0000000000000004E-4</v>
      </c>
      <c r="V42" s="245">
        <v>9.98</v>
      </c>
      <c r="W42" s="244">
        <v>0.87109999999999999</v>
      </c>
      <c r="X42" s="247">
        <v>10907.17</v>
      </c>
      <c r="Y42" s="246">
        <v>23428.13</v>
      </c>
    </row>
    <row r="43" spans="1:25" ht="12" customHeight="1" thickBot="1">
      <c r="A43" s="238" t="s">
        <v>139</v>
      </c>
      <c r="B43" s="239" t="s">
        <v>140</v>
      </c>
      <c r="C43" s="239" t="s">
        <v>58</v>
      </c>
      <c r="D43" s="247">
        <v>10302</v>
      </c>
      <c r="E43" s="241">
        <v>0.80079999999999996</v>
      </c>
      <c r="F43" s="240">
        <v>8249.84</v>
      </c>
      <c r="G43" s="244">
        <v>5.7000000000000002E-2</v>
      </c>
      <c r="H43" s="243">
        <v>587.4</v>
      </c>
      <c r="I43" s="242">
        <v>3.7000000000000002E-3</v>
      </c>
      <c r="J43" s="243">
        <v>38.549999999999997</v>
      </c>
      <c r="K43" s="242">
        <v>0</v>
      </c>
      <c r="L43" s="243">
        <v>0</v>
      </c>
      <c r="M43" s="244">
        <v>0</v>
      </c>
      <c r="N43" s="245">
        <v>0</v>
      </c>
      <c r="O43" s="241">
        <v>2.9999999999999997E-4</v>
      </c>
      <c r="P43" s="245">
        <v>3.01</v>
      </c>
      <c r="Q43" s="242">
        <v>0</v>
      </c>
      <c r="R43" s="243">
        <v>0</v>
      </c>
      <c r="S43" s="244">
        <v>2.9600000000000001E-2</v>
      </c>
      <c r="T43" s="243">
        <v>304.99</v>
      </c>
      <c r="U43" s="244">
        <v>1E-3</v>
      </c>
      <c r="V43" s="245">
        <v>9.98</v>
      </c>
      <c r="W43" s="244">
        <v>0.89239999999999997</v>
      </c>
      <c r="X43" s="240">
        <v>9193.77</v>
      </c>
      <c r="Y43" s="246">
        <v>19495.77</v>
      </c>
    </row>
    <row r="44" spans="1:25" ht="12" customHeight="1" thickBot="1">
      <c r="A44" s="238" t="s">
        <v>141</v>
      </c>
      <c r="B44" s="239" t="s">
        <v>142</v>
      </c>
      <c r="C44" s="239" t="s">
        <v>58</v>
      </c>
      <c r="D44" s="247">
        <v>10998.07</v>
      </c>
      <c r="E44" s="241">
        <v>0.80079999999999996</v>
      </c>
      <c r="F44" s="240">
        <v>8807.25</v>
      </c>
      <c r="G44" s="244">
        <v>5.3400000000000003E-2</v>
      </c>
      <c r="H44" s="243">
        <v>587.4</v>
      </c>
      <c r="I44" s="242">
        <v>3.5000000000000001E-3</v>
      </c>
      <c r="J44" s="243">
        <v>38.549999999999997</v>
      </c>
      <c r="K44" s="242">
        <v>0</v>
      </c>
      <c r="L44" s="243">
        <v>0</v>
      </c>
      <c r="M44" s="244">
        <v>0</v>
      </c>
      <c r="N44" s="245">
        <v>0</v>
      </c>
      <c r="O44" s="241">
        <v>2.9999999999999997E-4</v>
      </c>
      <c r="P44" s="245">
        <v>3.01</v>
      </c>
      <c r="Q44" s="242">
        <v>0</v>
      </c>
      <c r="R44" s="243">
        <v>0</v>
      </c>
      <c r="S44" s="244">
        <v>2.7699999999999999E-2</v>
      </c>
      <c r="T44" s="243">
        <v>304.99</v>
      </c>
      <c r="U44" s="244">
        <v>8.9999999999999998E-4</v>
      </c>
      <c r="V44" s="245">
        <v>9.98</v>
      </c>
      <c r="W44" s="244">
        <v>0.88660000000000005</v>
      </c>
      <c r="X44" s="240">
        <v>9751.18</v>
      </c>
      <c r="Y44" s="246">
        <v>20749.240000000002</v>
      </c>
    </row>
    <row r="45" spans="1:25" ht="12" customHeight="1" thickBot="1">
      <c r="A45" s="238" t="s">
        <v>143</v>
      </c>
      <c r="B45" s="239" t="s">
        <v>144</v>
      </c>
      <c r="C45" s="239" t="s">
        <v>58</v>
      </c>
      <c r="D45" s="247">
        <v>13680.74</v>
      </c>
      <c r="E45" s="241">
        <v>0.80079999999999996</v>
      </c>
      <c r="F45" s="248">
        <v>10955.54</v>
      </c>
      <c r="G45" s="244">
        <v>4.2900000000000001E-2</v>
      </c>
      <c r="H45" s="243">
        <v>587.4</v>
      </c>
      <c r="I45" s="242">
        <v>2.8E-3</v>
      </c>
      <c r="J45" s="243">
        <v>38.549999999999997</v>
      </c>
      <c r="K45" s="242">
        <v>0</v>
      </c>
      <c r="L45" s="243">
        <v>0</v>
      </c>
      <c r="M45" s="244">
        <v>0</v>
      </c>
      <c r="N45" s="245">
        <v>0</v>
      </c>
      <c r="O45" s="241">
        <v>2.0000000000000001E-4</v>
      </c>
      <c r="P45" s="245">
        <v>3.01</v>
      </c>
      <c r="Q45" s="242">
        <v>0</v>
      </c>
      <c r="R45" s="243">
        <v>0</v>
      </c>
      <c r="S45" s="244">
        <v>2.23E-2</v>
      </c>
      <c r="T45" s="243">
        <v>304.99</v>
      </c>
      <c r="U45" s="244">
        <v>6.9999999999999999E-4</v>
      </c>
      <c r="V45" s="245">
        <v>9.98</v>
      </c>
      <c r="W45" s="244">
        <v>0.86980000000000002</v>
      </c>
      <c r="X45" s="247">
        <v>11899.46</v>
      </c>
      <c r="Y45" s="246">
        <v>25580.2</v>
      </c>
    </row>
    <row r="46" spans="1:25" ht="12" customHeight="1" thickBot="1">
      <c r="A46" s="238" t="s">
        <v>145</v>
      </c>
      <c r="B46" s="239" t="s">
        <v>146</v>
      </c>
      <c r="C46" s="239" t="s">
        <v>58</v>
      </c>
      <c r="D46" s="247">
        <v>20217.96</v>
      </c>
      <c r="E46" s="241">
        <v>0.80049999999999999</v>
      </c>
      <c r="F46" s="248">
        <v>16184.48</v>
      </c>
      <c r="G46" s="244">
        <v>2.9100000000000001E-2</v>
      </c>
      <c r="H46" s="243">
        <v>587.4</v>
      </c>
      <c r="I46" s="242">
        <v>1.6999999999999999E-3</v>
      </c>
      <c r="J46" s="243">
        <v>35.200000000000003</v>
      </c>
      <c r="K46" s="242">
        <v>0</v>
      </c>
      <c r="L46" s="243">
        <v>0</v>
      </c>
      <c r="M46" s="244">
        <v>0</v>
      </c>
      <c r="N46" s="245">
        <v>0</v>
      </c>
      <c r="O46" s="241">
        <v>2.0000000000000001E-4</v>
      </c>
      <c r="P46" s="245">
        <v>3.6</v>
      </c>
      <c r="Q46" s="242">
        <v>0</v>
      </c>
      <c r="R46" s="243">
        <v>0</v>
      </c>
      <c r="S46" s="244">
        <v>1.5100000000000001E-2</v>
      </c>
      <c r="T46" s="243">
        <v>304.99</v>
      </c>
      <c r="U46" s="244">
        <v>5.0000000000000001E-4</v>
      </c>
      <c r="V46" s="245">
        <v>9.98</v>
      </c>
      <c r="W46" s="244">
        <v>0.84709999999999996</v>
      </c>
      <c r="X46" s="247">
        <v>17125.650000000001</v>
      </c>
      <c r="Y46" s="246">
        <v>37343.61</v>
      </c>
    </row>
    <row r="47" spans="1:25" ht="12" customHeight="1" thickBot="1">
      <c r="A47" s="238" t="s">
        <v>18</v>
      </c>
      <c r="B47" s="239" t="s">
        <v>147</v>
      </c>
      <c r="C47" s="239" t="s">
        <v>58</v>
      </c>
      <c r="D47" s="247">
        <v>16848.3</v>
      </c>
      <c r="E47" s="241">
        <v>0.80049999999999999</v>
      </c>
      <c r="F47" s="248">
        <v>13487.06</v>
      </c>
      <c r="G47" s="244">
        <v>3.49E-2</v>
      </c>
      <c r="H47" s="243">
        <v>587.4</v>
      </c>
      <c r="I47" s="242">
        <v>2.0999999999999999E-3</v>
      </c>
      <c r="J47" s="243">
        <v>35.200000000000003</v>
      </c>
      <c r="K47" s="242">
        <v>0</v>
      </c>
      <c r="L47" s="243">
        <v>0</v>
      </c>
      <c r="M47" s="244">
        <v>0</v>
      </c>
      <c r="N47" s="245">
        <v>0</v>
      </c>
      <c r="O47" s="241">
        <v>2.0000000000000001E-4</v>
      </c>
      <c r="P47" s="245">
        <v>3.6</v>
      </c>
      <c r="Q47" s="242">
        <v>0</v>
      </c>
      <c r="R47" s="243">
        <v>0</v>
      </c>
      <c r="S47" s="244">
        <v>1.8100000000000002E-2</v>
      </c>
      <c r="T47" s="243">
        <v>304.99</v>
      </c>
      <c r="U47" s="244">
        <v>5.9999999999999995E-4</v>
      </c>
      <c r="V47" s="245">
        <v>9.98</v>
      </c>
      <c r="W47" s="244">
        <v>0.85640000000000005</v>
      </c>
      <c r="X47" s="247">
        <v>14428.24</v>
      </c>
      <c r="Y47" s="246">
        <v>31276.54</v>
      </c>
    </row>
    <row r="48" spans="1:25" ht="12" customHeight="1" thickBot="1">
      <c r="A48" s="238" t="s">
        <v>148</v>
      </c>
      <c r="B48" s="239" t="s">
        <v>149</v>
      </c>
      <c r="C48" s="239" t="s">
        <v>58</v>
      </c>
      <c r="D48" s="247">
        <v>10302</v>
      </c>
      <c r="E48" s="241">
        <v>0.80230000000000001</v>
      </c>
      <c r="F48" s="240">
        <v>8265.2900000000009</v>
      </c>
      <c r="G48" s="244">
        <v>5.7000000000000002E-2</v>
      </c>
      <c r="H48" s="243">
        <v>587.4</v>
      </c>
      <c r="I48" s="242">
        <v>3.7000000000000002E-3</v>
      </c>
      <c r="J48" s="243">
        <v>38.549999999999997</v>
      </c>
      <c r="K48" s="242">
        <v>0</v>
      </c>
      <c r="L48" s="243">
        <v>0</v>
      </c>
      <c r="M48" s="244">
        <v>0</v>
      </c>
      <c r="N48" s="245">
        <v>0</v>
      </c>
      <c r="O48" s="241">
        <v>2.9999999999999997E-4</v>
      </c>
      <c r="P48" s="245">
        <v>3.07</v>
      </c>
      <c r="Q48" s="242">
        <v>0</v>
      </c>
      <c r="R48" s="243">
        <v>0</v>
      </c>
      <c r="S48" s="244">
        <v>2.9600000000000001E-2</v>
      </c>
      <c r="T48" s="243">
        <v>304.99</v>
      </c>
      <c r="U48" s="244">
        <v>1E-3</v>
      </c>
      <c r="V48" s="245">
        <v>9.98</v>
      </c>
      <c r="W48" s="244">
        <v>0.89390000000000003</v>
      </c>
      <c r="X48" s="240">
        <v>9209.2800000000007</v>
      </c>
      <c r="Y48" s="246">
        <v>19511.28</v>
      </c>
    </row>
    <row r="49" spans="1:25" ht="12" customHeight="1" thickBot="1">
      <c r="A49" s="238" t="s">
        <v>150</v>
      </c>
      <c r="B49" s="239" t="s">
        <v>151</v>
      </c>
      <c r="C49" s="239" t="s">
        <v>58</v>
      </c>
      <c r="D49" s="247">
        <v>10803.58</v>
      </c>
      <c r="E49" s="241">
        <v>0.80230000000000001</v>
      </c>
      <c r="F49" s="240">
        <v>8667.7099999999991</v>
      </c>
      <c r="G49" s="244">
        <v>5.4399999999999997E-2</v>
      </c>
      <c r="H49" s="243">
        <v>587.4</v>
      </c>
      <c r="I49" s="242">
        <v>3.5999999999999999E-3</v>
      </c>
      <c r="J49" s="243">
        <v>38.549999999999997</v>
      </c>
      <c r="K49" s="242">
        <v>0</v>
      </c>
      <c r="L49" s="243">
        <v>0</v>
      </c>
      <c r="M49" s="244">
        <v>0</v>
      </c>
      <c r="N49" s="245">
        <v>0</v>
      </c>
      <c r="O49" s="241">
        <v>2.9999999999999997E-4</v>
      </c>
      <c r="P49" s="245">
        <v>3.07</v>
      </c>
      <c r="Q49" s="242">
        <v>0</v>
      </c>
      <c r="R49" s="243">
        <v>0</v>
      </c>
      <c r="S49" s="244">
        <v>2.8199999999999999E-2</v>
      </c>
      <c r="T49" s="243">
        <v>304.99</v>
      </c>
      <c r="U49" s="244">
        <v>8.9999999999999998E-4</v>
      </c>
      <c r="V49" s="245">
        <v>9.98</v>
      </c>
      <c r="W49" s="244">
        <v>0.88970000000000005</v>
      </c>
      <c r="X49" s="240">
        <v>9611.7000000000007</v>
      </c>
      <c r="Y49" s="246">
        <v>20415.28</v>
      </c>
    </row>
    <row r="50" spans="1:25" ht="12" customHeight="1" thickBot="1">
      <c r="A50" s="238" t="s">
        <v>152</v>
      </c>
      <c r="B50" s="239" t="s">
        <v>153</v>
      </c>
      <c r="C50" s="239" t="s">
        <v>58</v>
      </c>
      <c r="D50" s="247">
        <v>11305.16</v>
      </c>
      <c r="E50" s="241">
        <v>0.80230000000000001</v>
      </c>
      <c r="F50" s="240">
        <v>9070.1299999999992</v>
      </c>
      <c r="G50" s="244">
        <v>5.1999999999999998E-2</v>
      </c>
      <c r="H50" s="243">
        <v>587.4</v>
      </c>
      <c r="I50" s="242">
        <v>3.3999999999999998E-3</v>
      </c>
      <c r="J50" s="243">
        <v>38.549999999999997</v>
      </c>
      <c r="K50" s="242">
        <v>0</v>
      </c>
      <c r="L50" s="243">
        <v>0</v>
      </c>
      <c r="M50" s="244">
        <v>0</v>
      </c>
      <c r="N50" s="245">
        <v>0</v>
      </c>
      <c r="O50" s="241">
        <v>2.9999999999999997E-4</v>
      </c>
      <c r="P50" s="245">
        <v>3.07</v>
      </c>
      <c r="Q50" s="242">
        <v>0</v>
      </c>
      <c r="R50" s="243">
        <v>0</v>
      </c>
      <c r="S50" s="244">
        <v>2.7E-2</v>
      </c>
      <c r="T50" s="243">
        <v>304.99</v>
      </c>
      <c r="U50" s="244">
        <v>8.9999999999999998E-4</v>
      </c>
      <c r="V50" s="245">
        <v>9.98</v>
      </c>
      <c r="W50" s="244">
        <v>0.88580000000000003</v>
      </c>
      <c r="X50" s="247">
        <v>10014.120000000001</v>
      </c>
      <c r="Y50" s="246">
        <v>21319.279999999999</v>
      </c>
    </row>
    <row r="51" spans="1:25" ht="12" customHeight="1" thickBot="1">
      <c r="A51" s="238" t="s">
        <v>27</v>
      </c>
      <c r="B51" s="239" t="s">
        <v>154</v>
      </c>
      <c r="C51" s="239" t="s">
        <v>58</v>
      </c>
      <c r="D51" s="247">
        <v>10302</v>
      </c>
      <c r="E51" s="241">
        <v>0.80049999999999999</v>
      </c>
      <c r="F51" s="240">
        <v>8246.75</v>
      </c>
      <c r="G51" s="244">
        <v>5.7000000000000002E-2</v>
      </c>
      <c r="H51" s="243">
        <v>587.4</v>
      </c>
      <c r="I51" s="242">
        <v>3.7000000000000002E-3</v>
      </c>
      <c r="J51" s="243">
        <v>38.549999999999997</v>
      </c>
      <c r="K51" s="242">
        <v>0</v>
      </c>
      <c r="L51" s="243">
        <v>0</v>
      </c>
      <c r="M51" s="244">
        <v>0</v>
      </c>
      <c r="N51" s="245">
        <v>0</v>
      </c>
      <c r="O51" s="241">
        <v>2.9999999999999997E-4</v>
      </c>
      <c r="P51" s="245">
        <v>3.6</v>
      </c>
      <c r="Q51" s="242">
        <v>0</v>
      </c>
      <c r="R51" s="243">
        <v>0</v>
      </c>
      <c r="S51" s="244">
        <v>2.9600000000000001E-2</v>
      </c>
      <c r="T51" s="243">
        <v>304.99</v>
      </c>
      <c r="U51" s="244">
        <v>1E-3</v>
      </c>
      <c r="V51" s="245">
        <v>9.98</v>
      </c>
      <c r="W51" s="244">
        <v>0.89219999999999999</v>
      </c>
      <c r="X51" s="240">
        <v>9191.27</v>
      </c>
      <c r="Y51" s="246">
        <v>19493.27</v>
      </c>
    </row>
    <row r="52" spans="1:25" ht="12" customHeight="1" thickBot="1">
      <c r="A52" s="238" t="s">
        <v>35</v>
      </c>
      <c r="B52" s="239" t="s">
        <v>155</v>
      </c>
      <c r="C52" s="239" t="s">
        <v>58</v>
      </c>
      <c r="D52" s="247">
        <v>10864.39</v>
      </c>
      <c r="E52" s="241">
        <v>0.80049999999999999</v>
      </c>
      <c r="F52" s="240">
        <v>8696.94</v>
      </c>
      <c r="G52" s="244">
        <v>5.4100000000000002E-2</v>
      </c>
      <c r="H52" s="243">
        <v>587.4</v>
      </c>
      <c r="I52" s="242">
        <v>3.5000000000000001E-3</v>
      </c>
      <c r="J52" s="243">
        <v>38.549999999999997</v>
      </c>
      <c r="K52" s="242">
        <v>0</v>
      </c>
      <c r="L52" s="243">
        <v>0</v>
      </c>
      <c r="M52" s="244">
        <v>0</v>
      </c>
      <c r="N52" s="245">
        <v>0</v>
      </c>
      <c r="O52" s="241">
        <v>2.9999999999999997E-4</v>
      </c>
      <c r="P52" s="245">
        <v>3.6</v>
      </c>
      <c r="Q52" s="242">
        <v>0</v>
      </c>
      <c r="R52" s="243">
        <v>0</v>
      </c>
      <c r="S52" s="244">
        <v>2.81E-2</v>
      </c>
      <c r="T52" s="243">
        <v>304.99</v>
      </c>
      <c r="U52" s="244">
        <v>8.9999999999999998E-4</v>
      </c>
      <c r="V52" s="245">
        <v>9.98</v>
      </c>
      <c r="W52" s="244">
        <v>0.88739999999999997</v>
      </c>
      <c r="X52" s="240">
        <v>9641.4599999999991</v>
      </c>
      <c r="Y52" s="246">
        <v>20505.849999999999</v>
      </c>
    </row>
    <row r="53" spans="1:25" ht="12" customHeight="1" thickBot="1">
      <c r="A53" s="238" t="s">
        <v>26</v>
      </c>
      <c r="B53" s="239" t="s">
        <v>156</v>
      </c>
      <c r="C53" s="239" t="s">
        <v>58</v>
      </c>
      <c r="D53" s="247">
        <v>14226.86</v>
      </c>
      <c r="E53" s="241">
        <v>0.80049999999999999</v>
      </c>
      <c r="F53" s="248">
        <v>11388.6</v>
      </c>
      <c r="G53" s="244">
        <v>4.1300000000000003E-2</v>
      </c>
      <c r="H53" s="243">
        <v>587.4</v>
      </c>
      <c r="I53" s="242">
        <v>2.7000000000000001E-3</v>
      </c>
      <c r="J53" s="243">
        <v>38.549999999999997</v>
      </c>
      <c r="K53" s="242">
        <v>0</v>
      </c>
      <c r="L53" s="243">
        <v>0</v>
      </c>
      <c r="M53" s="244">
        <v>0</v>
      </c>
      <c r="N53" s="245">
        <v>0</v>
      </c>
      <c r="O53" s="241">
        <v>2.9999999999999997E-4</v>
      </c>
      <c r="P53" s="245">
        <v>3.6</v>
      </c>
      <c r="Q53" s="242">
        <v>0</v>
      </c>
      <c r="R53" s="243">
        <v>0</v>
      </c>
      <c r="S53" s="244">
        <v>2.1399999999999999E-2</v>
      </c>
      <c r="T53" s="243">
        <v>304.99</v>
      </c>
      <c r="U53" s="244">
        <v>6.9999999999999999E-4</v>
      </c>
      <c r="V53" s="245">
        <v>9.98</v>
      </c>
      <c r="W53" s="244">
        <v>0.8669</v>
      </c>
      <c r="X53" s="247">
        <v>12333.12</v>
      </c>
      <c r="Y53" s="246">
        <v>26559.98</v>
      </c>
    </row>
    <row r="54" spans="1:25" ht="12" customHeight="1" thickBot="1">
      <c r="A54" s="229" t="s">
        <v>157</v>
      </c>
      <c r="B54" s="230" t="s">
        <v>158</v>
      </c>
      <c r="C54" s="230" t="s">
        <v>58</v>
      </c>
      <c r="D54" s="249">
        <v>10302</v>
      </c>
      <c r="E54" s="232">
        <v>0.80230000000000001</v>
      </c>
      <c r="F54" s="231">
        <v>8265.2900000000009</v>
      </c>
      <c r="G54" s="235">
        <v>5.7000000000000002E-2</v>
      </c>
      <c r="H54" s="234">
        <v>587.4</v>
      </c>
      <c r="I54" s="233">
        <v>3.7000000000000002E-3</v>
      </c>
      <c r="J54" s="234">
        <v>38.549999999999997</v>
      </c>
      <c r="K54" s="233">
        <v>0</v>
      </c>
      <c r="L54" s="234">
        <v>0</v>
      </c>
      <c r="M54" s="235">
        <v>0</v>
      </c>
      <c r="N54" s="236">
        <v>0</v>
      </c>
      <c r="O54" s="232">
        <v>2.9999999999999997E-4</v>
      </c>
      <c r="P54" s="236">
        <v>3.07</v>
      </c>
      <c r="Q54" s="233">
        <v>0</v>
      </c>
      <c r="R54" s="234">
        <v>0</v>
      </c>
      <c r="S54" s="235">
        <v>2.9600000000000001E-2</v>
      </c>
      <c r="T54" s="234">
        <v>304.99</v>
      </c>
      <c r="U54" s="235">
        <v>1E-3</v>
      </c>
      <c r="V54" s="236">
        <v>9.98</v>
      </c>
      <c r="W54" s="235">
        <v>0.89390000000000003</v>
      </c>
      <c r="X54" s="231">
        <v>9209.2800000000007</v>
      </c>
      <c r="Y54" s="237">
        <v>19511.28</v>
      </c>
    </row>
    <row r="55" spans="1:25" ht="12" customHeight="1" thickBot="1">
      <c r="A55" s="238" t="s">
        <v>159</v>
      </c>
      <c r="B55" s="239" t="s">
        <v>160</v>
      </c>
      <c r="C55" s="239" t="s">
        <v>58</v>
      </c>
      <c r="D55" s="247">
        <v>10803.58</v>
      </c>
      <c r="E55" s="241">
        <v>0.80230000000000001</v>
      </c>
      <c r="F55" s="240">
        <v>8667.7099999999991</v>
      </c>
      <c r="G55" s="244">
        <v>5.4399999999999997E-2</v>
      </c>
      <c r="H55" s="243">
        <v>587.4</v>
      </c>
      <c r="I55" s="242">
        <v>3.5999999999999999E-3</v>
      </c>
      <c r="J55" s="243">
        <v>38.549999999999997</v>
      </c>
      <c r="K55" s="242">
        <v>0</v>
      </c>
      <c r="L55" s="243">
        <v>0</v>
      </c>
      <c r="M55" s="244">
        <v>0</v>
      </c>
      <c r="N55" s="245">
        <v>0</v>
      </c>
      <c r="O55" s="241">
        <v>2.9999999999999997E-4</v>
      </c>
      <c r="P55" s="245">
        <v>3.07</v>
      </c>
      <c r="Q55" s="242">
        <v>0</v>
      </c>
      <c r="R55" s="243">
        <v>0</v>
      </c>
      <c r="S55" s="244">
        <v>2.8199999999999999E-2</v>
      </c>
      <c r="T55" s="243">
        <v>304.99</v>
      </c>
      <c r="U55" s="244">
        <v>8.9999999999999998E-4</v>
      </c>
      <c r="V55" s="245">
        <v>9.98</v>
      </c>
      <c r="W55" s="244">
        <v>0.88970000000000005</v>
      </c>
      <c r="X55" s="240">
        <v>9611.7000000000007</v>
      </c>
      <c r="Y55" s="246">
        <v>20415.28</v>
      </c>
    </row>
    <row r="56" spans="1:25" ht="12" customHeight="1" thickBot="1">
      <c r="A56" s="238" t="s">
        <v>161</v>
      </c>
      <c r="B56" s="239" t="s">
        <v>162</v>
      </c>
      <c r="C56" s="239" t="s">
        <v>58</v>
      </c>
      <c r="D56" s="247">
        <v>11305.16</v>
      </c>
      <c r="E56" s="241">
        <v>0.80230000000000001</v>
      </c>
      <c r="F56" s="240">
        <v>9070.1299999999992</v>
      </c>
      <c r="G56" s="244">
        <v>5.1999999999999998E-2</v>
      </c>
      <c r="H56" s="243">
        <v>587.4</v>
      </c>
      <c r="I56" s="242">
        <v>3.3999999999999998E-3</v>
      </c>
      <c r="J56" s="243">
        <v>38.549999999999997</v>
      </c>
      <c r="K56" s="242">
        <v>0</v>
      </c>
      <c r="L56" s="243">
        <v>0</v>
      </c>
      <c r="M56" s="244">
        <v>0</v>
      </c>
      <c r="N56" s="245">
        <v>0</v>
      </c>
      <c r="O56" s="241">
        <v>2.9999999999999997E-4</v>
      </c>
      <c r="P56" s="245">
        <v>3.07</v>
      </c>
      <c r="Q56" s="242">
        <v>0</v>
      </c>
      <c r="R56" s="243">
        <v>0</v>
      </c>
      <c r="S56" s="244">
        <v>2.7E-2</v>
      </c>
      <c r="T56" s="243">
        <v>304.99</v>
      </c>
      <c r="U56" s="244">
        <v>8.9999999999999998E-4</v>
      </c>
      <c r="V56" s="245">
        <v>9.98</v>
      </c>
      <c r="W56" s="244">
        <v>0.88580000000000003</v>
      </c>
      <c r="X56" s="247">
        <v>10014.120000000001</v>
      </c>
      <c r="Y56" s="246">
        <v>21319.279999999999</v>
      </c>
    </row>
    <row r="57" spans="1:25" ht="12" customHeight="1" thickBot="1">
      <c r="A57" s="238" t="s">
        <v>163</v>
      </c>
      <c r="B57" s="239" t="s">
        <v>164</v>
      </c>
      <c r="C57" s="239" t="s">
        <v>58</v>
      </c>
      <c r="D57" s="247">
        <v>10302</v>
      </c>
      <c r="E57" s="241">
        <v>0.80759999999999998</v>
      </c>
      <c r="F57" s="240">
        <v>8319.9</v>
      </c>
      <c r="G57" s="244">
        <v>5.7000000000000002E-2</v>
      </c>
      <c r="H57" s="243">
        <v>587.4</v>
      </c>
      <c r="I57" s="242">
        <v>3.7000000000000002E-3</v>
      </c>
      <c r="J57" s="243">
        <v>38.549999999999997</v>
      </c>
      <c r="K57" s="242">
        <v>0</v>
      </c>
      <c r="L57" s="243">
        <v>0</v>
      </c>
      <c r="M57" s="244">
        <v>0</v>
      </c>
      <c r="N57" s="245">
        <v>0</v>
      </c>
      <c r="O57" s="241">
        <v>5.0000000000000001E-4</v>
      </c>
      <c r="P57" s="245">
        <v>4.6500000000000004</v>
      </c>
      <c r="Q57" s="242">
        <v>0</v>
      </c>
      <c r="R57" s="243">
        <v>0</v>
      </c>
      <c r="S57" s="244">
        <v>2.9600000000000001E-2</v>
      </c>
      <c r="T57" s="243">
        <v>304.99</v>
      </c>
      <c r="U57" s="244">
        <v>1E-3</v>
      </c>
      <c r="V57" s="245">
        <v>9.98</v>
      </c>
      <c r="W57" s="244">
        <v>0.89939999999999998</v>
      </c>
      <c r="X57" s="240">
        <v>9265.4599999999991</v>
      </c>
      <c r="Y57" s="246">
        <v>19567.46</v>
      </c>
    </row>
    <row r="58" spans="1:25" ht="12" customHeight="1" thickBot="1">
      <c r="A58" s="238" t="s">
        <v>165</v>
      </c>
      <c r="B58" s="239" t="s">
        <v>166</v>
      </c>
      <c r="C58" s="239" t="s">
        <v>58</v>
      </c>
      <c r="D58" s="247">
        <v>11097.94</v>
      </c>
      <c r="E58" s="241">
        <v>0.80759999999999998</v>
      </c>
      <c r="F58" s="240">
        <v>8962.69</v>
      </c>
      <c r="G58" s="244">
        <v>5.2900000000000003E-2</v>
      </c>
      <c r="H58" s="243">
        <v>587.4</v>
      </c>
      <c r="I58" s="242">
        <v>3.5000000000000001E-3</v>
      </c>
      <c r="J58" s="243">
        <v>38.549999999999997</v>
      </c>
      <c r="K58" s="242">
        <v>0</v>
      </c>
      <c r="L58" s="243">
        <v>0</v>
      </c>
      <c r="M58" s="244">
        <v>0</v>
      </c>
      <c r="N58" s="245">
        <v>0</v>
      </c>
      <c r="O58" s="241">
        <v>4.0000000000000002E-4</v>
      </c>
      <c r="P58" s="245">
        <v>4.6500000000000004</v>
      </c>
      <c r="Q58" s="242">
        <v>0</v>
      </c>
      <c r="R58" s="243">
        <v>0</v>
      </c>
      <c r="S58" s="244">
        <v>2.75E-2</v>
      </c>
      <c r="T58" s="243">
        <v>304.99</v>
      </c>
      <c r="U58" s="244">
        <v>8.9999999999999998E-4</v>
      </c>
      <c r="V58" s="245">
        <v>9.98</v>
      </c>
      <c r="W58" s="244">
        <v>0.89280000000000004</v>
      </c>
      <c r="X58" s="240">
        <v>9908.26</v>
      </c>
      <c r="Y58" s="246">
        <v>21006.2</v>
      </c>
    </row>
    <row r="59" spans="1:25" ht="12" customHeight="1" thickBot="1">
      <c r="A59" s="238" t="s">
        <v>167</v>
      </c>
      <c r="B59" s="239" t="s">
        <v>168</v>
      </c>
      <c r="C59" s="239" t="s">
        <v>58</v>
      </c>
      <c r="D59" s="247">
        <v>14633.97</v>
      </c>
      <c r="E59" s="241">
        <v>0.80759999999999998</v>
      </c>
      <c r="F59" s="248">
        <v>11818.39</v>
      </c>
      <c r="G59" s="244">
        <v>4.0099999999999997E-2</v>
      </c>
      <c r="H59" s="243">
        <v>587.4</v>
      </c>
      <c r="I59" s="242">
        <v>2.5999999999999999E-3</v>
      </c>
      <c r="J59" s="243">
        <v>38.549999999999997</v>
      </c>
      <c r="K59" s="242">
        <v>0</v>
      </c>
      <c r="L59" s="243">
        <v>0</v>
      </c>
      <c r="M59" s="244">
        <v>0</v>
      </c>
      <c r="N59" s="245">
        <v>0</v>
      </c>
      <c r="O59" s="241">
        <v>2.9999999999999997E-4</v>
      </c>
      <c r="P59" s="245">
        <v>4.6500000000000004</v>
      </c>
      <c r="Q59" s="242">
        <v>0</v>
      </c>
      <c r="R59" s="243">
        <v>0</v>
      </c>
      <c r="S59" s="244">
        <v>2.0799999999999999E-2</v>
      </c>
      <c r="T59" s="243">
        <v>304.99</v>
      </c>
      <c r="U59" s="244">
        <v>6.9999999999999999E-4</v>
      </c>
      <c r="V59" s="245">
        <v>9.98</v>
      </c>
      <c r="W59" s="244">
        <v>0.87219999999999998</v>
      </c>
      <c r="X59" s="247">
        <v>12763.96</v>
      </c>
      <c r="Y59" s="246">
        <v>27397.919999999998</v>
      </c>
    </row>
    <row r="60" spans="1:25" ht="12" customHeight="1" thickBot="1">
      <c r="A60" s="238" t="s">
        <v>169</v>
      </c>
      <c r="B60" s="239" t="s">
        <v>170</v>
      </c>
      <c r="C60" s="239" t="s">
        <v>58</v>
      </c>
      <c r="D60" s="240">
        <v>2615.56</v>
      </c>
      <c r="E60" s="241">
        <v>0.80249999999999999</v>
      </c>
      <c r="F60" s="240">
        <v>2098.98</v>
      </c>
      <c r="G60" s="242">
        <v>0.22459999999999999</v>
      </c>
      <c r="H60" s="243">
        <v>587.4</v>
      </c>
      <c r="I60" s="242">
        <v>1.47E-2</v>
      </c>
      <c r="J60" s="243">
        <v>38.549999999999997</v>
      </c>
      <c r="K60" s="242">
        <v>0</v>
      </c>
      <c r="L60" s="243">
        <v>0</v>
      </c>
      <c r="M60" s="244">
        <v>1.21E-2</v>
      </c>
      <c r="N60" s="245">
        <v>31.77</v>
      </c>
      <c r="O60" s="241">
        <v>1E-3</v>
      </c>
      <c r="P60" s="245">
        <v>2.66</v>
      </c>
      <c r="Q60" s="242">
        <v>0</v>
      </c>
      <c r="R60" s="243">
        <v>0</v>
      </c>
      <c r="S60" s="242">
        <v>0.1166</v>
      </c>
      <c r="T60" s="243">
        <v>304.99</v>
      </c>
      <c r="U60" s="244">
        <v>3.8E-3</v>
      </c>
      <c r="V60" s="245">
        <v>9.98</v>
      </c>
      <c r="W60" s="242">
        <v>1.1754</v>
      </c>
      <c r="X60" s="240">
        <v>3074.33</v>
      </c>
      <c r="Y60" s="246">
        <v>5689.89</v>
      </c>
    </row>
    <row r="61" spans="1:25" ht="12" customHeight="1" thickBot="1">
      <c r="A61" s="238" t="s">
        <v>171</v>
      </c>
      <c r="B61" s="239" t="s">
        <v>172</v>
      </c>
      <c r="C61" s="239" t="s">
        <v>58</v>
      </c>
      <c r="D61" s="240">
        <v>3487.41</v>
      </c>
      <c r="E61" s="241">
        <v>0.80249999999999999</v>
      </c>
      <c r="F61" s="240">
        <v>2798.65</v>
      </c>
      <c r="G61" s="242">
        <v>0.16839999999999999</v>
      </c>
      <c r="H61" s="243">
        <v>587.4</v>
      </c>
      <c r="I61" s="242">
        <v>1.11E-2</v>
      </c>
      <c r="J61" s="243">
        <v>38.549999999999997</v>
      </c>
      <c r="K61" s="242">
        <v>0</v>
      </c>
      <c r="L61" s="243">
        <v>0</v>
      </c>
      <c r="M61" s="244">
        <v>2.8E-3</v>
      </c>
      <c r="N61" s="245">
        <v>9.7899999999999991</v>
      </c>
      <c r="O61" s="241">
        <v>8.0000000000000004E-4</v>
      </c>
      <c r="P61" s="245">
        <v>2.66</v>
      </c>
      <c r="Q61" s="242">
        <v>0</v>
      </c>
      <c r="R61" s="243">
        <v>0</v>
      </c>
      <c r="S61" s="244">
        <v>8.7499999999999994E-2</v>
      </c>
      <c r="T61" s="243">
        <v>304.99</v>
      </c>
      <c r="U61" s="244">
        <v>2.8999999999999998E-3</v>
      </c>
      <c r="V61" s="245">
        <v>9.98</v>
      </c>
      <c r="W61" s="242">
        <v>1.0759000000000001</v>
      </c>
      <c r="X61" s="240">
        <v>3752.01</v>
      </c>
      <c r="Y61" s="246">
        <v>7239.42</v>
      </c>
    </row>
    <row r="62" spans="1:25" ht="12" customHeight="1" thickBot="1">
      <c r="A62" s="238" t="s">
        <v>173</v>
      </c>
      <c r="B62" s="239" t="s">
        <v>174</v>
      </c>
      <c r="C62" s="239" t="s">
        <v>58</v>
      </c>
      <c r="D62" s="240">
        <v>6279.74</v>
      </c>
      <c r="E62" s="241">
        <v>0.80249999999999999</v>
      </c>
      <c r="F62" s="240">
        <v>5039.49</v>
      </c>
      <c r="G62" s="244">
        <v>9.35E-2</v>
      </c>
      <c r="H62" s="243">
        <v>587.4</v>
      </c>
      <c r="I62" s="242">
        <v>6.1000000000000004E-3</v>
      </c>
      <c r="J62" s="243">
        <v>38.549999999999997</v>
      </c>
      <c r="K62" s="242">
        <v>0</v>
      </c>
      <c r="L62" s="243">
        <v>0</v>
      </c>
      <c r="M62" s="244">
        <v>0</v>
      </c>
      <c r="N62" s="245">
        <v>0</v>
      </c>
      <c r="O62" s="241">
        <v>4.0000000000000002E-4</v>
      </c>
      <c r="P62" s="245">
        <v>2.66</v>
      </c>
      <c r="Q62" s="242">
        <v>0</v>
      </c>
      <c r="R62" s="243">
        <v>0</v>
      </c>
      <c r="S62" s="244">
        <v>4.8599999999999997E-2</v>
      </c>
      <c r="T62" s="243">
        <v>304.99</v>
      </c>
      <c r="U62" s="244">
        <v>1.6000000000000001E-3</v>
      </c>
      <c r="V62" s="245">
        <v>9.98</v>
      </c>
      <c r="W62" s="244">
        <v>0.95279999999999998</v>
      </c>
      <c r="X62" s="240">
        <v>5983.06</v>
      </c>
      <c r="Y62" s="246">
        <v>12262.8</v>
      </c>
    </row>
    <row r="63" spans="1:25" ht="12" customHeight="1" thickBot="1">
      <c r="A63" s="238" t="s">
        <v>175</v>
      </c>
      <c r="B63" s="239" t="s">
        <v>176</v>
      </c>
      <c r="C63" s="239" t="s">
        <v>58</v>
      </c>
      <c r="D63" s="240">
        <v>2471.33</v>
      </c>
      <c r="E63" s="241">
        <v>0.8</v>
      </c>
      <c r="F63" s="240">
        <v>1977.06</v>
      </c>
      <c r="G63" s="242">
        <v>0.23769999999999999</v>
      </c>
      <c r="H63" s="243">
        <v>587.4</v>
      </c>
      <c r="I63" s="242">
        <v>1.61E-2</v>
      </c>
      <c r="J63" s="243">
        <v>39.82</v>
      </c>
      <c r="K63" s="242">
        <v>0</v>
      </c>
      <c r="L63" s="243">
        <v>0</v>
      </c>
      <c r="M63" s="244">
        <v>2.86E-2</v>
      </c>
      <c r="N63" s="245">
        <v>70.75</v>
      </c>
      <c r="O63" s="241">
        <v>1.1999999999999999E-3</v>
      </c>
      <c r="P63" s="245">
        <v>2.89</v>
      </c>
      <c r="Q63" s="242">
        <v>0</v>
      </c>
      <c r="R63" s="243">
        <v>0</v>
      </c>
      <c r="S63" s="242">
        <v>0.1234</v>
      </c>
      <c r="T63" s="243">
        <v>304.99</v>
      </c>
      <c r="U63" s="244">
        <v>4.0000000000000001E-3</v>
      </c>
      <c r="V63" s="245">
        <v>9.98</v>
      </c>
      <c r="W63" s="242">
        <v>1.2110000000000001</v>
      </c>
      <c r="X63" s="240">
        <v>2992.9</v>
      </c>
      <c r="Y63" s="246">
        <v>5464.23</v>
      </c>
    </row>
    <row r="64" spans="1:25" ht="12" customHeight="1" thickBot="1">
      <c r="A64" s="238" t="s">
        <v>177</v>
      </c>
      <c r="B64" s="239" t="s">
        <v>178</v>
      </c>
      <c r="C64" s="239" t="s">
        <v>58</v>
      </c>
      <c r="D64" s="240">
        <v>3295.11</v>
      </c>
      <c r="E64" s="241">
        <v>0.8</v>
      </c>
      <c r="F64" s="240">
        <v>2636.09</v>
      </c>
      <c r="G64" s="242">
        <v>0.17829999999999999</v>
      </c>
      <c r="H64" s="243">
        <v>587.4</v>
      </c>
      <c r="I64" s="242">
        <v>1.21E-2</v>
      </c>
      <c r="J64" s="243">
        <v>39.82</v>
      </c>
      <c r="K64" s="242">
        <v>0</v>
      </c>
      <c r="L64" s="243">
        <v>0</v>
      </c>
      <c r="M64" s="244">
        <v>6.4999999999999997E-3</v>
      </c>
      <c r="N64" s="245">
        <v>21.33</v>
      </c>
      <c r="O64" s="241">
        <v>8.9999999999999998E-4</v>
      </c>
      <c r="P64" s="245">
        <v>2.89</v>
      </c>
      <c r="Q64" s="242">
        <v>0</v>
      </c>
      <c r="R64" s="243">
        <v>0</v>
      </c>
      <c r="S64" s="244">
        <v>9.2600000000000002E-2</v>
      </c>
      <c r="T64" s="243">
        <v>304.99</v>
      </c>
      <c r="U64" s="244">
        <v>3.0000000000000001E-3</v>
      </c>
      <c r="V64" s="245">
        <v>9.98</v>
      </c>
      <c r="W64" s="242">
        <v>1.0932999999999999</v>
      </c>
      <c r="X64" s="240">
        <v>3602.49</v>
      </c>
      <c r="Y64" s="246">
        <v>6897.6</v>
      </c>
    </row>
    <row r="65" spans="1:25" ht="12" customHeight="1" thickBot="1">
      <c r="A65" s="238" t="s">
        <v>179</v>
      </c>
      <c r="B65" s="239" t="s">
        <v>180</v>
      </c>
      <c r="C65" s="239" t="s">
        <v>58</v>
      </c>
      <c r="D65" s="240">
        <v>6633.29</v>
      </c>
      <c r="E65" s="241">
        <v>0.8</v>
      </c>
      <c r="F65" s="240">
        <v>5306.63</v>
      </c>
      <c r="G65" s="244">
        <v>8.8599999999999998E-2</v>
      </c>
      <c r="H65" s="243">
        <v>587.4</v>
      </c>
      <c r="I65" s="242">
        <v>6.0000000000000001E-3</v>
      </c>
      <c r="J65" s="243">
        <v>39.82</v>
      </c>
      <c r="K65" s="242">
        <v>0</v>
      </c>
      <c r="L65" s="243">
        <v>0</v>
      </c>
      <c r="M65" s="244">
        <v>0</v>
      </c>
      <c r="N65" s="245">
        <v>0</v>
      </c>
      <c r="O65" s="241">
        <v>4.0000000000000002E-4</v>
      </c>
      <c r="P65" s="245">
        <v>2.89</v>
      </c>
      <c r="Q65" s="242">
        <v>0</v>
      </c>
      <c r="R65" s="243">
        <v>0</v>
      </c>
      <c r="S65" s="244">
        <v>4.5999999999999999E-2</v>
      </c>
      <c r="T65" s="243">
        <v>304.99</v>
      </c>
      <c r="U65" s="244">
        <v>1.5E-3</v>
      </c>
      <c r="V65" s="245">
        <v>9.98</v>
      </c>
      <c r="W65" s="244">
        <v>0.9425</v>
      </c>
      <c r="X65" s="240">
        <v>6251.71</v>
      </c>
      <c r="Y65" s="246">
        <v>12885</v>
      </c>
    </row>
    <row r="66" spans="1:25" ht="12" customHeight="1" thickBot="1">
      <c r="A66" s="238" t="s">
        <v>181</v>
      </c>
      <c r="B66" s="239" t="s">
        <v>182</v>
      </c>
      <c r="C66" s="239" t="s">
        <v>58</v>
      </c>
      <c r="D66" s="240">
        <v>2042.25</v>
      </c>
      <c r="E66" s="241">
        <v>0.80730000000000002</v>
      </c>
      <c r="F66" s="240">
        <v>1648.71</v>
      </c>
      <c r="G66" s="242">
        <v>0.28760000000000002</v>
      </c>
      <c r="H66" s="243">
        <v>587.4</v>
      </c>
      <c r="I66" s="242">
        <v>2.12E-2</v>
      </c>
      <c r="J66" s="243">
        <v>43.22</v>
      </c>
      <c r="K66" s="242">
        <v>0</v>
      </c>
      <c r="L66" s="243">
        <v>0</v>
      </c>
      <c r="M66" s="244">
        <v>4.7300000000000002E-2</v>
      </c>
      <c r="N66" s="245">
        <v>96.5</v>
      </c>
      <c r="O66" s="241">
        <v>2.0999999999999999E-3</v>
      </c>
      <c r="P66" s="245">
        <v>4.2699999999999996</v>
      </c>
      <c r="Q66" s="242">
        <v>0</v>
      </c>
      <c r="R66" s="243">
        <v>0</v>
      </c>
      <c r="S66" s="242">
        <v>0.14929999999999999</v>
      </c>
      <c r="T66" s="243">
        <v>304.99</v>
      </c>
      <c r="U66" s="244">
        <v>4.8999999999999998E-3</v>
      </c>
      <c r="V66" s="245">
        <v>9.98</v>
      </c>
      <c r="W66" s="242">
        <v>1.3197000000000001</v>
      </c>
      <c r="X66" s="240">
        <v>2695.07</v>
      </c>
      <c r="Y66" s="246">
        <v>4737.33</v>
      </c>
    </row>
    <row r="67" spans="1:25" ht="12" customHeight="1" thickBot="1">
      <c r="A67" s="238" t="s">
        <v>183</v>
      </c>
      <c r="B67" s="239" t="s">
        <v>184</v>
      </c>
      <c r="C67" s="239" t="s">
        <v>58</v>
      </c>
      <c r="D67" s="247">
        <v>10302</v>
      </c>
      <c r="E67" s="241">
        <v>0.79710000000000003</v>
      </c>
      <c r="F67" s="240">
        <v>8211.7199999999993</v>
      </c>
      <c r="G67" s="244">
        <v>5.7000000000000002E-2</v>
      </c>
      <c r="H67" s="243">
        <v>587.4</v>
      </c>
      <c r="I67" s="242">
        <v>3.7000000000000002E-3</v>
      </c>
      <c r="J67" s="243">
        <v>38.549999999999997</v>
      </c>
      <c r="K67" s="242">
        <v>0</v>
      </c>
      <c r="L67" s="243">
        <v>0</v>
      </c>
      <c r="M67" s="244">
        <v>0</v>
      </c>
      <c r="N67" s="245">
        <v>0</v>
      </c>
      <c r="O67" s="241">
        <v>2.0000000000000001E-4</v>
      </c>
      <c r="P67" s="245">
        <v>2.54</v>
      </c>
      <c r="Q67" s="242">
        <v>0</v>
      </c>
      <c r="R67" s="243">
        <v>0</v>
      </c>
      <c r="S67" s="244">
        <v>2.9600000000000001E-2</v>
      </c>
      <c r="T67" s="243">
        <v>304.99</v>
      </c>
      <c r="U67" s="244">
        <v>1E-3</v>
      </c>
      <c r="V67" s="245">
        <v>9.98</v>
      </c>
      <c r="W67" s="244">
        <v>0.88870000000000005</v>
      </c>
      <c r="X67" s="240">
        <v>9155.18</v>
      </c>
      <c r="Y67" s="246">
        <v>19457.18</v>
      </c>
    </row>
    <row r="68" spans="1:25" ht="10.9" customHeight="1">
      <c r="A68" s="423" t="s">
        <v>109</v>
      </c>
      <c r="B68" s="423" t="s">
        <v>110</v>
      </c>
      <c r="C68" s="423" t="s">
        <v>111</v>
      </c>
      <c r="D68" s="423" t="s">
        <v>112</v>
      </c>
      <c r="E68" s="423" t="s">
        <v>113</v>
      </c>
      <c r="F68" s="423" t="s">
        <v>114</v>
      </c>
      <c r="G68" s="428" t="s">
        <v>115</v>
      </c>
      <c r="H68" s="429"/>
      <c r="I68" s="429"/>
      <c r="J68" s="429"/>
      <c r="K68" s="429"/>
      <c r="L68" s="429"/>
      <c r="M68" s="429"/>
      <c r="N68" s="429"/>
      <c r="O68" s="429"/>
      <c r="P68" s="430"/>
      <c r="Q68" s="428" t="s">
        <v>116</v>
      </c>
      <c r="R68" s="429"/>
      <c r="S68" s="429"/>
      <c r="T68" s="429"/>
      <c r="U68" s="429"/>
      <c r="V68" s="430"/>
      <c r="W68" s="419" t="s">
        <v>117</v>
      </c>
      <c r="X68" s="420"/>
      <c r="Y68" s="423" t="s">
        <v>118</v>
      </c>
    </row>
    <row r="69" spans="1:25" ht="19.899999999999999" customHeight="1">
      <c r="A69" s="427"/>
      <c r="B69" s="427"/>
      <c r="C69" s="427"/>
      <c r="D69" s="427"/>
      <c r="E69" s="427"/>
      <c r="F69" s="427"/>
      <c r="G69" s="425" t="s">
        <v>119</v>
      </c>
      <c r="H69" s="426"/>
      <c r="I69" s="425" t="s">
        <v>120</v>
      </c>
      <c r="J69" s="426"/>
      <c r="K69" s="425" t="s">
        <v>121</v>
      </c>
      <c r="L69" s="426"/>
      <c r="M69" s="425" t="s">
        <v>122</v>
      </c>
      <c r="N69" s="426"/>
      <c r="O69" s="425" t="s">
        <v>123</v>
      </c>
      <c r="P69" s="426"/>
      <c r="Q69" s="425" t="s">
        <v>124</v>
      </c>
      <c r="R69" s="426"/>
      <c r="S69" s="425" t="s">
        <v>125</v>
      </c>
      <c r="T69" s="426"/>
      <c r="U69" s="425" t="s">
        <v>126</v>
      </c>
      <c r="V69" s="426"/>
      <c r="W69" s="421"/>
      <c r="X69" s="422"/>
      <c r="Y69" s="424"/>
    </row>
    <row r="70" spans="1:25" ht="13.15" customHeight="1" thickBot="1">
      <c r="A70" s="424"/>
      <c r="B70" s="424"/>
      <c r="C70" s="424"/>
      <c r="D70" s="424"/>
      <c r="E70" s="424"/>
      <c r="F70" s="424"/>
      <c r="G70" s="5" t="s">
        <v>127</v>
      </c>
      <c r="H70" s="5" t="s">
        <v>128</v>
      </c>
      <c r="I70" s="5" t="s">
        <v>127</v>
      </c>
      <c r="J70" s="5" t="s">
        <v>128</v>
      </c>
      <c r="K70" s="5" t="s">
        <v>127</v>
      </c>
      <c r="L70" s="5" t="s">
        <v>128</v>
      </c>
      <c r="M70" s="5" t="s">
        <v>127</v>
      </c>
      <c r="N70" s="5" t="s">
        <v>128</v>
      </c>
      <c r="O70" s="5" t="s">
        <v>127</v>
      </c>
      <c r="P70" s="5" t="s">
        <v>128</v>
      </c>
      <c r="Q70" s="5" t="s">
        <v>127</v>
      </c>
      <c r="R70" s="5" t="s">
        <v>128</v>
      </c>
      <c r="S70" s="5" t="s">
        <v>127</v>
      </c>
      <c r="T70" s="5" t="s">
        <v>128</v>
      </c>
      <c r="U70" s="5" t="s">
        <v>127</v>
      </c>
      <c r="V70" s="5" t="s">
        <v>128</v>
      </c>
      <c r="W70" s="5" t="s">
        <v>127</v>
      </c>
      <c r="X70" s="5" t="s">
        <v>128</v>
      </c>
      <c r="Y70" s="5" t="s">
        <v>128</v>
      </c>
    </row>
    <row r="71" spans="1:25" ht="12" customHeight="1" thickBot="1">
      <c r="A71" s="229" t="s">
        <v>185</v>
      </c>
      <c r="B71" s="230" t="s">
        <v>186</v>
      </c>
      <c r="C71" s="230" t="s">
        <v>58</v>
      </c>
      <c r="D71" s="231">
        <v>3942.88</v>
      </c>
      <c r="E71" s="232">
        <v>0.80169999999999997</v>
      </c>
      <c r="F71" s="231">
        <v>3161</v>
      </c>
      <c r="G71" s="233">
        <v>0.14899999999999999</v>
      </c>
      <c r="H71" s="234">
        <v>587.4</v>
      </c>
      <c r="I71" s="233">
        <v>1.01E-2</v>
      </c>
      <c r="J71" s="234">
        <v>39.82</v>
      </c>
      <c r="K71" s="233">
        <v>0</v>
      </c>
      <c r="L71" s="234">
        <v>0</v>
      </c>
      <c r="M71" s="235">
        <v>0</v>
      </c>
      <c r="N71" s="236">
        <v>0</v>
      </c>
      <c r="O71" s="232">
        <v>1E-3</v>
      </c>
      <c r="P71" s="236">
        <v>4.08</v>
      </c>
      <c r="Q71" s="233">
        <v>0</v>
      </c>
      <c r="R71" s="234">
        <v>0</v>
      </c>
      <c r="S71" s="235">
        <v>7.7399999999999997E-2</v>
      </c>
      <c r="T71" s="234">
        <v>304.99</v>
      </c>
      <c r="U71" s="235">
        <v>2.5000000000000001E-3</v>
      </c>
      <c r="V71" s="236">
        <v>9.98</v>
      </c>
      <c r="W71" s="233">
        <v>1.0417000000000001</v>
      </c>
      <c r="X71" s="231">
        <v>4107.2700000000004</v>
      </c>
      <c r="Y71" s="237">
        <v>8050.15</v>
      </c>
    </row>
    <row r="72" spans="1:25" ht="12" customHeight="1" thickBot="1">
      <c r="A72" s="238" t="s">
        <v>187</v>
      </c>
      <c r="B72" s="239" t="s">
        <v>188</v>
      </c>
      <c r="C72" s="239" t="s">
        <v>58</v>
      </c>
      <c r="D72" s="240">
        <v>5257.17</v>
      </c>
      <c r="E72" s="241">
        <v>0.80169999999999997</v>
      </c>
      <c r="F72" s="240">
        <v>4214.67</v>
      </c>
      <c r="G72" s="242">
        <v>0.11169999999999999</v>
      </c>
      <c r="H72" s="243">
        <v>587.4</v>
      </c>
      <c r="I72" s="242">
        <v>7.6E-3</v>
      </c>
      <c r="J72" s="243">
        <v>39.82</v>
      </c>
      <c r="K72" s="242">
        <v>0</v>
      </c>
      <c r="L72" s="243">
        <v>0</v>
      </c>
      <c r="M72" s="244">
        <v>0</v>
      </c>
      <c r="N72" s="245">
        <v>0</v>
      </c>
      <c r="O72" s="241">
        <v>8.0000000000000004E-4</v>
      </c>
      <c r="P72" s="245">
        <v>4.08</v>
      </c>
      <c r="Q72" s="242">
        <v>0</v>
      </c>
      <c r="R72" s="243">
        <v>0</v>
      </c>
      <c r="S72" s="244">
        <v>5.8000000000000003E-2</v>
      </c>
      <c r="T72" s="243">
        <v>304.99</v>
      </c>
      <c r="U72" s="244">
        <v>1.9E-3</v>
      </c>
      <c r="V72" s="245">
        <v>9.98</v>
      </c>
      <c r="W72" s="244">
        <v>0.98170000000000002</v>
      </c>
      <c r="X72" s="240">
        <v>5160.9399999999996</v>
      </c>
      <c r="Y72" s="246">
        <v>10418.11</v>
      </c>
    </row>
    <row r="73" spans="1:25" ht="12" customHeight="1" thickBot="1">
      <c r="A73" s="238" t="s">
        <v>189</v>
      </c>
      <c r="B73" s="239" t="s">
        <v>190</v>
      </c>
      <c r="C73" s="239" t="s">
        <v>58</v>
      </c>
      <c r="D73" s="240">
        <v>8803.6</v>
      </c>
      <c r="E73" s="241">
        <v>0.80169999999999997</v>
      </c>
      <c r="F73" s="240">
        <v>7057.85</v>
      </c>
      <c r="G73" s="244">
        <v>6.6699999999999995E-2</v>
      </c>
      <c r="H73" s="243">
        <v>587.4</v>
      </c>
      <c r="I73" s="242">
        <v>4.4999999999999997E-3</v>
      </c>
      <c r="J73" s="243">
        <v>39.82</v>
      </c>
      <c r="K73" s="242">
        <v>0</v>
      </c>
      <c r="L73" s="243">
        <v>0</v>
      </c>
      <c r="M73" s="244">
        <v>0</v>
      </c>
      <c r="N73" s="245">
        <v>0</v>
      </c>
      <c r="O73" s="241">
        <v>5.0000000000000001E-4</v>
      </c>
      <c r="P73" s="245">
        <v>4.08</v>
      </c>
      <c r="Q73" s="242">
        <v>0</v>
      </c>
      <c r="R73" s="243">
        <v>0</v>
      </c>
      <c r="S73" s="244">
        <v>3.4599999999999999E-2</v>
      </c>
      <c r="T73" s="243">
        <v>304.99</v>
      </c>
      <c r="U73" s="244">
        <v>1.1000000000000001E-3</v>
      </c>
      <c r="V73" s="245">
        <v>9.98</v>
      </c>
      <c r="W73" s="244">
        <v>0.90920000000000001</v>
      </c>
      <c r="X73" s="240">
        <v>8004.12</v>
      </c>
      <c r="Y73" s="246">
        <v>16807.72</v>
      </c>
    </row>
    <row r="74" spans="1:25" ht="12" customHeight="1" thickBot="1">
      <c r="A74" s="238" t="s">
        <v>191</v>
      </c>
      <c r="B74" s="239" t="s">
        <v>192</v>
      </c>
      <c r="C74" s="239" t="s">
        <v>58</v>
      </c>
      <c r="D74" s="240">
        <v>1929.32</v>
      </c>
      <c r="E74" s="241">
        <v>0.80830000000000002</v>
      </c>
      <c r="F74" s="240">
        <v>1559.47</v>
      </c>
      <c r="G74" s="242">
        <v>0.30449999999999999</v>
      </c>
      <c r="H74" s="243">
        <v>587.4</v>
      </c>
      <c r="I74" s="242">
        <v>2.4199999999999999E-2</v>
      </c>
      <c r="J74" s="243">
        <v>46.73</v>
      </c>
      <c r="K74" s="242">
        <v>0</v>
      </c>
      <c r="L74" s="243">
        <v>0</v>
      </c>
      <c r="M74" s="244">
        <v>5.3499999999999999E-2</v>
      </c>
      <c r="N74" s="243">
        <v>103.27</v>
      </c>
      <c r="O74" s="241">
        <v>2.3E-3</v>
      </c>
      <c r="P74" s="245">
        <v>4.38</v>
      </c>
      <c r="Q74" s="242">
        <v>0</v>
      </c>
      <c r="R74" s="243">
        <v>0</v>
      </c>
      <c r="S74" s="242">
        <v>0.15809999999999999</v>
      </c>
      <c r="T74" s="243">
        <v>304.99</v>
      </c>
      <c r="U74" s="244">
        <v>5.1999999999999998E-3</v>
      </c>
      <c r="V74" s="245">
        <v>9.98</v>
      </c>
      <c r="W74" s="242">
        <v>1.3560000000000001</v>
      </c>
      <c r="X74" s="240">
        <v>2616.2199999999998</v>
      </c>
      <c r="Y74" s="246">
        <v>4545.54</v>
      </c>
    </row>
    <row r="75" spans="1:25" ht="12" customHeight="1" thickBot="1">
      <c r="A75" s="238" t="s">
        <v>24</v>
      </c>
      <c r="B75" s="239" t="s">
        <v>193</v>
      </c>
      <c r="C75" s="239" t="s">
        <v>58</v>
      </c>
      <c r="D75" s="240">
        <v>1801.62</v>
      </c>
      <c r="E75" s="241">
        <v>0.80479999999999996</v>
      </c>
      <c r="F75" s="240">
        <v>1449.94</v>
      </c>
      <c r="G75" s="242">
        <v>0.32600000000000001</v>
      </c>
      <c r="H75" s="243">
        <v>587.4</v>
      </c>
      <c r="I75" s="242">
        <v>2.58E-2</v>
      </c>
      <c r="J75" s="243">
        <v>46.57</v>
      </c>
      <c r="K75" s="242">
        <v>0</v>
      </c>
      <c r="L75" s="243">
        <v>0</v>
      </c>
      <c r="M75" s="244">
        <v>6.1600000000000002E-2</v>
      </c>
      <c r="N75" s="243">
        <v>110.93</v>
      </c>
      <c r="O75" s="241">
        <v>2E-3</v>
      </c>
      <c r="P75" s="245">
        <v>3.59</v>
      </c>
      <c r="Q75" s="242">
        <v>0</v>
      </c>
      <c r="R75" s="243">
        <v>0</v>
      </c>
      <c r="S75" s="242">
        <v>0.16930000000000001</v>
      </c>
      <c r="T75" s="243">
        <v>304.99</v>
      </c>
      <c r="U75" s="244">
        <v>5.4999999999999997E-3</v>
      </c>
      <c r="V75" s="245">
        <v>9.98</v>
      </c>
      <c r="W75" s="242">
        <v>1.3951</v>
      </c>
      <c r="X75" s="240">
        <v>2513.41</v>
      </c>
      <c r="Y75" s="246">
        <v>4315.03</v>
      </c>
    </row>
    <row r="76" spans="1:25" ht="12" customHeight="1" thickBot="1">
      <c r="A76" s="238" t="s">
        <v>194</v>
      </c>
      <c r="B76" s="239" t="s">
        <v>195</v>
      </c>
      <c r="C76" s="239" t="s">
        <v>58</v>
      </c>
      <c r="D76" s="240">
        <v>4581.55</v>
      </c>
      <c r="E76" s="241">
        <v>0.82799999999999996</v>
      </c>
      <c r="F76" s="240">
        <v>3793.52</v>
      </c>
      <c r="G76" s="242">
        <v>0.12820000000000001</v>
      </c>
      <c r="H76" s="243">
        <v>587.4</v>
      </c>
      <c r="I76" s="242">
        <v>8.3999999999999995E-3</v>
      </c>
      <c r="J76" s="243">
        <v>38.549999999999997</v>
      </c>
      <c r="K76" s="242">
        <v>0</v>
      </c>
      <c r="L76" s="243">
        <v>0</v>
      </c>
      <c r="M76" s="244">
        <v>0</v>
      </c>
      <c r="N76" s="245">
        <v>0</v>
      </c>
      <c r="O76" s="241">
        <v>1.1999999999999999E-3</v>
      </c>
      <c r="P76" s="245">
        <v>5.49</v>
      </c>
      <c r="Q76" s="242">
        <v>0</v>
      </c>
      <c r="R76" s="243">
        <v>0</v>
      </c>
      <c r="S76" s="244">
        <v>6.6600000000000006E-2</v>
      </c>
      <c r="T76" s="243">
        <v>304.99</v>
      </c>
      <c r="U76" s="244">
        <v>2.2000000000000001E-3</v>
      </c>
      <c r="V76" s="245">
        <v>9.98</v>
      </c>
      <c r="W76" s="242">
        <v>1.0346</v>
      </c>
      <c r="X76" s="240">
        <v>4739.93</v>
      </c>
      <c r="Y76" s="246">
        <v>9321.48</v>
      </c>
    </row>
    <row r="77" spans="1:25" ht="12" customHeight="1" thickBot="1">
      <c r="A77" s="238" t="s">
        <v>196</v>
      </c>
      <c r="B77" s="239" t="s">
        <v>197</v>
      </c>
      <c r="C77" s="239" t="s">
        <v>58</v>
      </c>
      <c r="D77" s="240">
        <v>6108.73</v>
      </c>
      <c r="E77" s="241">
        <v>0.82799999999999996</v>
      </c>
      <c r="F77" s="240">
        <v>5058.03</v>
      </c>
      <c r="G77" s="244">
        <v>9.6199999999999994E-2</v>
      </c>
      <c r="H77" s="243">
        <v>587.4</v>
      </c>
      <c r="I77" s="242">
        <v>6.3E-3</v>
      </c>
      <c r="J77" s="243">
        <v>38.549999999999997</v>
      </c>
      <c r="K77" s="242">
        <v>0</v>
      </c>
      <c r="L77" s="243">
        <v>0</v>
      </c>
      <c r="M77" s="244">
        <v>0</v>
      </c>
      <c r="N77" s="245">
        <v>0</v>
      </c>
      <c r="O77" s="241">
        <v>8.9999999999999998E-4</v>
      </c>
      <c r="P77" s="245">
        <v>5.49</v>
      </c>
      <c r="Q77" s="242">
        <v>0</v>
      </c>
      <c r="R77" s="243">
        <v>0</v>
      </c>
      <c r="S77" s="244">
        <v>4.99E-2</v>
      </c>
      <c r="T77" s="243">
        <v>304.99</v>
      </c>
      <c r="U77" s="244">
        <v>1.6000000000000001E-3</v>
      </c>
      <c r="V77" s="245">
        <v>9.98</v>
      </c>
      <c r="W77" s="244">
        <v>0.9829</v>
      </c>
      <c r="X77" s="240">
        <v>6004.44</v>
      </c>
      <c r="Y77" s="246">
        <v>12113.17</v>
      </c>
    </row>
    <row r="78" spans="1:25" ht="12" customHeight="1" thickBot="1">
      <c r="A78" s="238" t="s">
        <v>198</v>
      </c>
      <c r="B78" s="239" t="s">
        <v>199</v>
      </c>
      <c r="C78" s="239" t="s">
        <v>58</v>
      </c>
      <c r="D78" s="240">
        <v>9302.39</v>
      </c>
      <c r="E78" s="241">
        <v>0.82799999999999996</v>
      </c>
      <c r="F78" s="240">
        <v>7702.38</v>
      </c>
      <c r="G78" s="244">
        <v>6.3100000000000003E-2</v>
      </c>
      <c r="H78" s="243">
        <v>587.4</v>
      </c>
      <c r="I78" s="242">
        <v>4.1000000000000003E-3</v>
      </c>
      <c r="J78" s="243">
        <v>38.549999999999997</v>
      </c>
      <c r="K78" s="242">
        <v>0</v>
      </c>
      <c r="L78" s="243">
        <v>0</v>
      </c>
      <c r="M78" s="244">
        <v>0</v>
      </c>
      <c r="N78" s="245">
        <v>0</v>
      </c>
      <c r="O78" s="241">
        <v>5.9999999999999995E-4</v>
      </c>
      <c r="P78" s="245">
        <v>5.49</v>
      </c>
      <c r="Q78" s="242">
        <v>0</v>
      </c>
      <c r="R78" s="243">
        <v>0</v>
      </c>
      <c r="S78" s="244">
        <v>3.2800000000000003E-2</v>
      </c>
      <c r="T78" s="243">
        <v>304.99</v>
      </c>
      <c r="U78" s="244">
        <v>1.1000000000000001E-3</v>
      </c>
      <c r="V78" s="245">
        <v>9.98</v>
      </c>
      <c r="W78" s="244">
        <v>0.92969999999999997</v>
      </c>
      <c r="X78" s="240">
        <v>8648.7900000000009</v>
      </c>
      <c r="Y78" s="246">
        <v>17951.18</v>
      </c>
    </row>
    <row r="79" spans="1:25" ht="12" customHeight="1" thickBot="1">
      <c r="A79" s="238" t="s">
        <v>200</v>
      </c>
      <c r="B79" s="239" t="s">
        <v>201</v>
      </c>
      <c r="C79" s="239" t="s">
        <v>58</v>
      </c>
      <c r="D79" s="240">
        <v>3029.85</v>
      </c>
      <c r="E79" s="241">
        <v>0.82499999999999996</v>
      </c>
      <c r="F79" s="240">
        <v>2499.63</v>
      </c>
      <c r="G79" s="242">
        <v>0.19389999999999999</v>
      </c>
      <c r="H79" s="243">
        <v>587.4</v>
      </c>
      <c r="I79" s="242">
        <v>1.2699999999999999E-2</v>
      </c>
      <c r="J79" s="243">
        <v>38.549999999999997</v>
      </c>
      <c r="K79" s="242">
        <v>0</v>
      </c>
      <c r="L79" s="243">
        <v>0</v>
      </c>
      <c r="M79" s="244">
        <v>1.23E-2</v>
      </c>
      <c r="N79" s="245">
        <v>37.24</v>
      </c>
      <c r="O79" s="241">
        <v>2.5999999999999999E-3</v>
      </c>
      <c r="P79" s="245">
        <v>7.88</v>
      </c>
      <c r="Q79" s="242">
        <v>0</v>
      </c>
      <c r="R79" s="243">
        <v>0</v>
      </c>
      <c r="S79" s="242">
        <v>0.1007</v>
      </c>
      <c r="T79" s="243">
        <v>304.99</v>
      </c>
      <c r="U79" s="244">
        <v>3.3E-3</v>
      </c>
      <c r="V79" s="245">
        <v>9.98</v>
      </c>
      <c r="W79" s="242">
        <v>1.1504000000000001</v>
      </c>
      <c r="X79" s="240">
        <v>3485.67</v>
      </c>
      <c r="Y79" s="246">
        <v>6515.52</v>
      </c>
    </row>
    <row r="80" spans="1:25" ht="12" customHeight="1" thickBot="1">
      <c r="A80" s="229" t="s">
        <v>202</v>
      </c>
      <c r="B80" s="230" t="s">
        <v>203</v>
      </c>
      <c r="C80" s="230" t="s">
        <v>58</v>
      </c>
      <c r="D80" s="231">
        <v>4039.8</v>
      </c>
      <c r="E80" s="232">
        <v>0.82499999999999996</v>
      </c>
      <c r="F80" s="231">
        <v>3332.84</v>
      </c>
      <c r="G80" s="233">
        <v>0.1454</v>
      </c>
      <c r="H80" s="234">
        <v>587.4</v>
      </c>
      <c r="I80" s="233">
        <v>9.4999999999999998E-3</v>
      </c>
      <c r="J80" s="234">
        <v>38.549999999999997</v>
      </c>
      <c r="K80" s="233">
        <v>0</v>
      </c>
      <c r="L80" s="234">
        <v>0</v>
      </c>
      <c r="M80" s="235">
        <v>0</v>
      </c>
      <c r="N80" s="236">
        <v>0</v>
      </c>
      <c r="O80" s="232">
        <v>2E-3</v>
      </c>
      <c r="P80" s="236">
        <v>7.88</v>
      </c>
      <c r="Q80" s="233">
        <v>0</v>
      </c>
      <c r="R80" s="234">
        <v>0</v>
      </c>
      <c r="S80" s="235">
        <v>7.5499999999999998E-2</v>
      </c>
      <c r="T80" s="234">
        <v>304.99</v>
      </c>
      <c r="U80" s="235">
        <v>2.5000000000000001E-3</v>
      </c>
      <c r="V80" s="236">
        <v>9.98</v>
      </c>
      <c r="W80" s="233">
        <v>1.0599000000000001</v>
      </c>
      <c r="X80" s="231">
        <v>4281.63</v>
      </c>
      <c r="Y80" s="237">
        <v>8321.43</v>
      </c>
    </row>
    <row r="81" spans="1:25" ht="12" customHeight="1" thickBot="1">
      <c r="A81" s="238" t="s">
        <v>204</v>
      </c>
      <c r="B81" s="239" t="s">
        <v>205</v>
      </c>
      <c r="C81" s="239" t="s">
        <v>58</v>
      </c>
      <c r="D81" s="240">
        <v>5891.96</v>
      </c>
      <c r="E81" s="241">
        <v>0.82499999999999996</v>
      </c>
      <c r="F81" s="240">
        <v>4860.8599999999997</v>
      </c>
      <c r="G81" s="244">
        <v>9.9699999999999997E-2</v>
      </c>
      <c r="H81" s="243">
        <v>587.4</v>
      </c>
      <c r="I81" s="242">
        <v>6.4999999999999997E-3</v>
      </c>
      <c r="J81" s="243">
        <v>38.549999999999997</v>
      </c>
      <c r="K81" s="242">
        <v>0</v>
      </c>
      <c r="L81" s="243">
        <v>0</v>
      </c>
      <c r="M81" s="244">
        <v>0</v>
      </c>
      <c r="N81" s="245">
        <v>0</v>
      </c>
      <c r="O81" s="241">
        <v>1.2999999999999999E-3</v>
      </c>
      <c r="P81" s="245">
        <v>7.88</v>
      </c>
      <c r="Q81" s="242">
        <v>0</v>
      </c>
      <c r="R81" s="243">
        <v>0</v>
      </c>
      <c r="S81" s="244">
        <v>5.1799999999999999E-2</v>
      </c>
      <c r="T81" s="243">
        <v>304.99</v>
      </c>
      <c r="U81" s="244">
        <v>1.6999999999999999E-3</v>
      </c>
      <c r="V81" s="245">
        <v>9.98</v>
      </c>
      <c r="W81" s="244">
        <v>0.98599999999999999</v>
      </c>
      <c r="X81" s="240">
        <v>5809.66</v>
      </c>
      <c r="Y81" s="246">
        <v>11701.62</v>
      </c>
    </row>
    <row r="82" spans="1:25" ht="12" customHeight="1" thickBot="1">
      <c r="A82" s="238" t="s">
        <v>206</v>
      </c>
      <c r="B82" s="239" t="s">
        <v>207</v>
      </c>
      <c r="C82" s="239" t="s">
        <v>58</v>
      </c>
      <c r="D82" s="240">
        <v>2477.0700000000002</v>
      </c>
      <c r="E82" s="241">
        <v>0.8</v>
      </c>
      <c r="F82" s="240">
        <v>1981.65</v>
      </c>
      <c r="G82" s="242">
        <v>0.23710000000000001</v>
      </c>
      <c r="H82" s="243">
        <v>587.4</v>
      </c>
      <c r="I82" s="242">
        <v>1.5599999999999999E-2</v>
      </c>
      <c r="J82" s="243">
        <v>38.549999999999997</v>
      </c>
      <c r="K82" s="242">
        <v>0</v>
      </c>
      <c r="L82" s="243">
        <v>0</v>
      </c>
      <c r="M82" s="244">
        <v>2.8400000000000002E-2</v>
      </c>
      <c r="N82" s="245">
        <v>70.41</v>
      </c>
      <c r="O82" s="241">
        <v>1.1999999999999999E-3</v>
      </c>
      <c r="P82" s="245">
        <v>3.03</v>
      </c>
      <c r="Q82" s="242">
        <v>0</v>
      </c>
      <c r="R82" s="243">
        <v>0</v>
      </c>
      <c r="S82" s="242">
        <v>0.1231</v>
      </c>
      <c r="T82" s="243">
        <v>304.99</v>
      </c>
      <c r="U82" s="244">
        <v>4.0000000000000001E-3</v>
      </c>
      <c r="V82" s="245">
        <v>9.98</v>
      </c>
      <c r="W82" s="242">
        <v>1.2095</v>
      </c>
      <c r="X82" s="240">
        <v>2996.01</v>
      </c>
      <c r="Y82" s="246">
        <v>5473.08</v>
      </c>
    </row>
    <row r="83" spans="1:25" ht="12" customHeight="1" thickBot="1">
      <c r="A83" s="238" t="s">
        <v>208</v>
      </c>
      <c r="B83" s="239" t="s">
        <v>209</v>
      </c>
      <c r="C83" s="239" t="s">
        <v>58</v>
      </c>
      <c r="D83" s="240">
        <v>3302.76</v>
      </c>
      <c r="E83" s="241">
        <v>0.8</v>
      </c>
      <c r="F83" s="240">
        <v>2642.21</v>
      </c>
      <c r="G83" s="242">
        <v>0.1779</v>
      </c>
      <c r="H83" s="243">
        <v>587.4</v>
      </c>
      <c r="I83" s="242">
        <v>1.17E-2</v>
      </c>
      <c r="J83" s="243">
        <v>38.549999999999997</v>
      </c>
      <c r="K83" s="242">
        <v>0</v>
      </c>
      <c r="L83" s="243">
        <v>0</v>
      </c>
      <c r="M83" s="244">
        <v>6.3E-3</v>
      </c>
      <c r="N83" s="245">
        <v>20.87</v>
      </c>
      <c r="O83" s="241">
        <v>8.9999999999999998E-4</v>
      </c>
      <c r="P83" s="245">
        <v>3.03</v>
      </c>
      <c r="Q83" s="242">
        <v>0</v>
      </c>
      <c r="R83" s="243">
        <v>0</v>
      </c>
      <c r="S83" s="244">
        <v>9.2299999999999993E-2</v>
      </c>
      <c r="T83" s="243">
        <v>304.99</v>
      </c>
      <c r="U83" s="244">
        <v>3.0000000000000001E-3</v>
      </c>
      <c r="V83" s="245">
        <v>9.98</v>
      </c>
      <c r="W83" s="242">
        <v>1.0921000000000001</v>
      </c>
      <c r="X83" s="240">
        <v>3607.02</v>
      </c>
      <c r="Y83" s="246">
        <v>6909.78</v>
      </c>
    </row>
    <row r="84" spans="1:25" ht="12" customHeight="1" thickBot="1">
      <c r="A84" s="238" t="s">
        <v>210</v>
      </c>
      <c r="B84" s="239" t="s">
        <v>211</v>
      </c>
      <c r="C84" s="239" t="s">
        <v>58</v>
      </c>
      <c r="D84" s="240">
        <v>4608.07</v>
      </c>
      <c r="E84" s="241">
        <v>0.8</v>
      </c>
      <c r="F84" s="240">
        <v>3686.46</v>
      </c>
      <c r="G84" s="242">
        <v>0.1275</v>
      </c>
      <c r="H84" s="243">
        <v>587.4</v>
      </c>
      <c r="I84" s="242">
        <v>8.3999999999999995E-3</v>
      </c>
      <c r="J84" s="243">
        <v>38.549999999999997</v>
      </c>
      <c r="K84" s="242">
        <v>0</v>
      </c>
      <c r="L84" s="243">
        <v>0</v>
      </c>
      <c r="M84" s="244">
        <v>0</v>
      </c>
      <c r="N84" s="245">
        <v>0</v>
      </c>
      <c r="O84" s="241">
        <v>6.9999999999999999E-4</v>
      </c>
      <c r="P84" s="245">
        <v>3.03</v>
      </c>
      <c r="Q84" s="242">
        <v>0</v>
      </c>
      <c r="R84" s="243">
        <v>0</v>
      </c>
      <c r="S84" s="244">
        <v>6.6199999999999995E-2</v>
      </c>
      <c r="T84" s="243">
        <v>304.99</v>
      </c>
      <c r="U84" s="244">
        <v>2.2000000000000001E-3</v>
      </c>
      <c r="V84" s="245">
        <v>9.98</v>
      </c>
      <c r="W84" s="242">
        <v>1.0047999999999999</v>
      </c>
      <c r="X84" s="240">
        <v>4630.3999999999996</v>
      </c>
      <c r="Y84" s="246">
        <v>9238.4699999999993</v>
      </c>
    </row>
    <row r="85" spans="1:25" ht="12" customHeight="1" thickBot="1">
      <c r="A85" s="238" t="s">
        <v>22</v>
      </c>
      <c r="B85" s="239" t="s">
        <v>212</v>
      </c>
      <c r="C85" s="239" t="s">
        <v>58</v>
      </c>
      <c r="D85" s="240">
        <v>2189.27</v>
      </c>
      <c r="E85" s="241">
        <v>0.80310000000000004</v>
      </c>
      <c r="F85" s="240">
        <v>1758.2</v>
      </c>
      <c r="G85" s="242">
        <v>0.26829999999999998</v>
      </c>
      <c r="H85" s="243">
        <v>587.4</v>
      </c>
      <c r="I85" s="242">
        <v>0</v>
      </c>
      <c r="J85" s="245">
        <v>0</v>
      </c>
      <c r="K85" s="242">
        <v>0</v>
      </c>
      <c r="L85" s="243">
        <v>0</v>
      </c>
      <c r="M85" s="244">
        <v>0.04</v>
      </c>
      <c r="N85" s="245">
        <v>87.68</v>
      </c>
      <c r="O85" s="241">
        <v>1.6000000000000001E-3</v>
      </c>
      <c r="P85" s="245">
        <v>3.45</v>
      </c>
      <c r="Q85" s="242">
        <v>0</v>
      </c>
      <c r="R85" s="243">
        <v>0</v>
      </c>
      <c r="S85" s="242">
        <v>0.13930000000000001</v>
      </c>
      <c r="T85" s="243">
        <v>304.99</v>
      </c>
      <c r="U85" s="244">
        <v>4.5999999999999999E-3</v>
      </c>
      <c r="V85" s="245">
        <v>9.98</v>
      </c>
      <c r="W85" s="242">
        <v>1.2568999999999999</v>
      </c>
      <c r="X85" s="240">
        <v>2751.7</v>
      </c>
      <c r="Y85" s="246">
        <v>4940.97</v>
      </c>
    </row>
    <row r="86" spans="1:25" ht="12" customHeight="1" thickBot="1">
      <c r="A86" s="238" t="s">
        <v>213</v>
      </c>
      <c r="B86" s="239" t="s">
        <v>214</v>
      </c>
      <c r="C86" s="239" t="s">
        <v>58</v>
      </c>
      <c r="D86" s="240">
        <v>1779.29</v>
      </c>
      <c r="E86" s="241">
        <v>0.8044</v>
      </c>
      <c r="F86" s="240">
        <v>1431.26</v>
      </c>
      <c r="G86" s="242">
        <v>0.3301</v>
      </c>
      <c r="H86" s="243">
        <v>587.4</v>
      </c>
      <c r="I86" s="242">
        <v>2.4299999999999999E-2</v>
      </c>
      <c r="J86" s="243">
        <v>43.22</v>
      </c>
      <c r="K86" s="242">
        <v>0</v>
      </c>
      <c r="L86" s="243">
        <v>0</v>
      </c>
      <c r="M86" s="244">
        <v>6.3100000000000003E-2</v>
      </c>
      <c r="N86" s="243">
        <v>112.27</v>
      </c>
      <c r="O86" s="241">
        <v>2.2000000000000001E-3</v>
      </c>
      <c r="P86" s="245">
        <v>3.83</v>
      </c>
      <c r="Q86" s="242">
        <v>0</v>
      </c>
      <c r="R86" s="243">
        <v>0</v>
      </c>
      <c r="S86" s="242">
        <v>0.1714</v>
      </c>
      <c r="T86" s="243">
        <v>304.99</v>
      </c>
      <c r="U86" s="244">
        <v>5.5999999999999999E-3</v>
      </c>
      <c r="V86" s="245">
        <v>9.98</v>
      </c>
      <c r="W86" s="242">
        <v>1.4011</v>
      </c>
      <c r="X86" s="240">
        <v>2492.9499999999998</v>
      </c>
      <c r="Y86" s="246">
        <v>4272.2299999999996</v>
      </c>
    </row>
    <row r="87" spans="1:25" ht="12" customHeight="1" thickBot="1">
      <c r="A87" s="238" t="s">
        <v>215</v>
      </c>
      <c r="B87" s="239" t="s">
        <v>216</v>
      </c>
      <c r="C87" s="239" t="s">
        <v>58</v>
      </c>
      <c r="D87" s="240">
        <v>2514.6</v>
      </c>
      <c r="E87" s="241">
        <v>0.80769999999999997</v>
      </c>
      <c r="F87" s="240">
        <v>2031.05</v>
      </c>
      <c r="G87" s="242">
        <v>0.2336</v>
      </c>
      <c r="H87" s="243">
        <v>587.4</v>
      </c>
      <c r="I87" s="242">
        <v>1.72E-2</v>
      </c>
      <c r="J87" s="243">
        <v>43.22</v>
      </c>
      <c r="K87" s="242">
        <v>0</v>
      </c>
      <c r="L87" s="243">
        <v>0</v>
      </c>
      <c r="M87" s="244">
        <v>2.7099999999999999E-2</v>
      </c>
      <c r="N87" s="245">
        <v>68.16</v>
      </c>
      <c r="O87" s="241">
        <v>1.6999999999999999E-3</v>
      </c>
      <c r="P87" s="245">
        <v>4.37</v>
      </c>
      <c r="Q87" s="242">
        <v>0</v>
      </c>
      <c r="R87" s="243">
        <v>0</v>
      </c>
      <c r="S87" s="242">
        <v>0.12130000000000001</v>
      </c>
      <c r="T87" s="243">
        <v>304.99</v>
      </c>
      <c r="U87" s="244">
        <v>4.0000000000000001E-3</v>
      </c>
      <c r="V87" s="245">
        <v>9.98</v>
      </c>
      <c r="W87" s="242">
        <v>1.2125999999999999</v>
      </c>
      <c r="X87" s="240">
        <v>3049.16</v>
      </c>
      <c r="Y87" s="246">
        <v>5563.76</v>
      </c>
    </row>
    <row r="88" spans="1:25" ht="12" customHeight="1" thickBot="1">
      <c r="A88" s="238" t="s">
        <v>29</v>
      </c>
      <c r="B88" s="239" t="s">
        <v>217</v>
      </c>
      <c r="C88" s="239" t="s">
        <v>58</v>
      </c>
      <c r="D88" s="240">
        <v>2974.3</v>
      </c>
      <c r="E88" s="241">
        <v>0.80400000000000005</v>
      </c>
      <c r="F88" s="240">
        <v>2391.34</v>
      </c>
      <c r="G88" s="242">
        <v>0.19750000000000001</v>
      </c>
      <c r="H88" s="243">
        <v>587.4</v>
      </c>
      <c r="I88" s="242">
        <v>1.4500000000000001E-2</v>
      </c>
      <c r="J88" s="243">
        <v>43.22</v>
      </c>
      <c r="K88" s="242">
        <v>0</v>
      </c>
      <c r="L88" s="243">
        <v>0</v>
      </c>
      <c r="M88" s="244">
        <v>1.3599999999999999E-2</v>
      </c>
      <c r="N88" s="245">
        <v>40.57</v>
      </c>
      <c r="O88" s="241">
        <v>1.1000000000000001E-3</v>
      </c>
      <c r="P88" s="245">
        <v>3.37</v>
      </c>
      <c r="Q88" s="242">
        <v>0</v>
      </c>
      <c r="R88" s="243">
        <v>0</v>
      </c>
      <c r="S88" s="242">
        <v>0.10249999999999999</v>
      </c>
      <c r="T88" s="243">
        <v>304.99</v>
      </c>
      <c r="U88" s="244">
        <v>3.3999999999999998E-3</v>
      </c>
      <c r="V88" s="245">
        <v>9.98</v>
      </c>
      <c r="W88" s="242">
        <v>1.1367</v>
      </c>
      <c r="X88" s="240">
        <v>3380.87</v>
      </c>
      <c r="Y88" s="246">
        <v>6355.18</v>
      </c>
    </row>
    <row r="89" spans="1:25" ht="12" customHeight="1" thickBot="1">
      <c r="A89" s="238" t="s">
        <v>218</v>
      </c>
      <c r="B89" s="239" t="s">
        <v>219</v>
      </c>
      <c r="C89" s="239" t="s">
        <v>58</v>
      </c>
      <c r="D89" s="240">
        <v>4012.52</v>
      </c>
      <c r="E89" s="241">
        <v>0.81040000000000001</v>
      </c>
      <c r="F89" s="240">
        <v>3251.75</v>
      </c>
      <c r="G89" s="242">
        <v>0.1464</v>
      </c>
      <c r="H89" s="243">
        <v>587.4</v>
      </c>
      <c r="I89" s="242">
        <v>1.0800000000000001E-2</v>
      </c>
      <c r="J89" s="243">
        <v>43.22</v>
      </c>
      <c r="K89" s="242">
        <v>0</v>
      </c>
      <c r="L89" s="243">
        <v>0</v>
      </c>
      <c r="M89" s="244">
        <v>0</v>
      </c>
      <c r="N89" s="245">
        <v>0</v>
      </c>
      <c r="O89" s="241">
        <v>1.1999999999999999E-3</v>
      </c>
      <c r="P89" s="245">
        <v>4.78</v>
      </c>
      <c r="Q89" s="242">
        <v>0</v>
      </c>
      <c r="R89" s="243">
        <v>0</v>
      </c>
      <c r="S89" s="244">
        <v>7.5999999999999998E-2</v>
      </c>
      <c r="T89" s="243">
        <v>304.99</v>
      </c>
      <c r="U89" s="244">
        <v>2.5000000000000001E-3</v>
      </c>
      <c r="V89" s="245">
        <v>9.98</v>
      </c>
      <c r="W89" s="242">
        <v>1.0472999999999999</v>
      </c>
      <c r="X89" s="240">
        <v>4202.1099999999997</v>
      </c>
      <c r="Y89" s="246">
        <v>8214.6299999999992</v>
      </c>
    </row>
    <row r="90" spans="1:25" ht="12" customHeight="1" thickBot="1">
      <c r="A90" s="238" t="s">
        <v>220</v>
      </c>
      <c r="B90" s="239" t="s">
        <v>221</v>
      </c>
      <c r="C90" s="239" t="s">
        <v>58</v>
      </c>
      <c r="D90" s="240">
        <v>2255.6</v>
      </c>
      <c r="E90" s="241">
        <v>0.80079999999999996</v>
      </c>
      <c r="F90" s="240">
        <v>1806.29</v>
      </c>
      <c r="G90" s="242">
        <v>0.26040000000000002</v>
      </c>
      <c r="H90" s="243">
        <v>587.4</v>
      </c>
      <c r="I90" s="242">
        <v>1.9199999999999998E-2</v>
      </c>
      <c r="J90" s="243">
        <v>43.22</v>
      </c>
      <c r="K90" s="242">
        <v>0</v>
      </c>
      <c r="L90" s="243">
        <v>0</v>
      </c>
      <c r="M90" s="244">
        <v>3.7100000000000001E-2</v>
      </c>
      <c r="N90" s="245">
        <v>83.7</v>
      </c>
      <c r="O90" s="241">
        <v>1.5E-3</v>
      </c>
      <c r="P90" s="245">
        <v>3.35</v>
      </c>
      <c r="Q90" s="242">
        <v>0</v>
      </c>
      <c r="R90" s="243">
        <v>0</v>
      </c>
      <c r="S90" s="242">
        <v>0.13519999999999999</v>
      </c>
      <c r="T90" s="243">
        <v>304.99</v>
      </c>
      <c r="U90" s="244">
        <v>4.4000000000000003E-3</v>
      </c>
      <c r="V90" s="245">
        <v>9.98</v>
      </c>
      <c r="W90" s="242">
        <v>1.2585999999999999</v>
      </c>
      <c r="X90" s="240">
        <v>2838.92</v>
      </c>
      <c r="Y90" s="246">
        <v>5094.5200000000004</v>
      </c>
    </row>
    <row r="91" spans="1:25" ht="12" customHeight="1" thickBot="1">
      <c r="A91" s="238" t="s">
        <v>222</v>
      </c>
      <c r="B91" s="239" t="s">
        <v>223</v>
      </c>
      <c r="C91" s="239" t="s">
        <v>58</v>
      </c>
      <c r="D91" s="240">
        <v>3006.4</v>
      </c>
      <c r="E91" s="241">
        <v>0.80469999999999997</v>
      </c>
      <c r="F91" s="240">
        <v>2419.25</v>
      </c>
      <c r="G91" s="242">
        <v>0.19539999999999999</v>
      </c>
      <c r="H91" s="243">
        <v>587.4</v>
      </c>
      <c r="I91" s="242">
        <v>0</v>
      </c>
      <c r="J91" s="245">
        <v>0</v>
      </c>
      <c r="K91" s="242">
        <v>0</v>
      </c>
      <c r="L91" s="243">
        <v>0</v>
      </c>
      <c r="M91" s="244">
        <v>1.29E-2</v>
      </c>
      <c r="N91" s="245">
        <v>38.65</v>
      </c>
      <c r="O91" s="241">
        <v>1.5E-3</v>
      </c>
      <c r="P91" s="245">
        <v>4.5999999999999996</v>
      </c>
      <c r="Q91" s="242">
        <v>0</v>
      </c>
      <c r="R91" s="243">
        <v>0</v>
      </c>
      <c r="S91" s="242">
        <v>0.1014</v>
      </c>
      <c r="T91" s="243">
        <v>304.99</v>
      </c>
      <c r="U91" s="244">
        <v>3.3E-3</v>
      </c>
      <c r="V91" s="245">
        <v>9.98</v>
      </c>
      <c r="W91" s="242">
        <v>1.1192</v>
      </c>
      <c r="X91" s="240">
        <v>3364.87</v>
      </c>
      <c r="Y91" s="246">
        <v>6371.27</v>
      </c>
    </row>
    <row r="92" spans="1:25" ht="12" customHeight="1" thickBot="1">
      <c r="A92" s="238" t="s">
        <v>224</v>
      </c>
      <c r="B92" s="239" t="s">
        <v>225</v>
      </c>
      <c r="C92" s="239" t="s">
        <v>58</v>
      </c>
      <c r="D92" s="240">
        <v>2207.29</v>
      </c>
      <c r="E92" s="241">
        <v>0.80789999999999995</v>
      </c>
      <c r="F92" s="240">
        <v>1783.27</v>
      </c>
      <c r="G92" s="242">
        <v>0.2661</v>
      </c>
      <c r="H92" s="243">
        <v>587.4</v>
      </c>
      <c r="I92" s="242">
        <v>1.9599999999999999E-2</v>
      </c>
      <c r="J92" s="243">
        <v>43.22</v>
      </c>
      <c r="K92" s="242">
        <v>0</v>
      </c>
      <c r="L92" s="243">
        <v>0</v>
      </c>
      <c r="M92" s="244">
        <v>3.9199999999999999E-2</v>
      </c>
      <c r="N92" s="245">
        <v>86.59</v>
      </c>
      <c r="O92" s="241">
        <v>2E-3</v>
      </c>
      <c r="P92" s="245">
        <v>4.38</v>
      </c>
      <c r="Q92" s="242">
        <v>0</v>
      </c>
      <c r="R92" s="243">
        <v>0</v>
      </c>
      <c r="S92" s="242">
        <v>0.13819999999999999</v>
      </c>
      <c r="T92" s="243">
        <v>304.99</v>
      </c>
      <c r="U92" s="244">
        <v>4.4999999999999997E-3</v>
      </c>
      <c r="V92" s="245">
        <v>9.98</v>
      </c>
      <c r="W92" s="242">
        <v>1.2775000000000001</v>
      </c>
      <c r="X92" s="240">
        <v>2819.84</v>
      </c>
      <c r="Y92" s="246">
        <v>5027.13</v>
      </c>
    </row>
    <row r="93" spans="1:25" ht="12" customHeight="1" thickBot="1">
      <c r="A93" s="238" t="s">
        <v>226</v>
      </c>
      <c r="B93" s="239" t="s">
        <v>227</v>
      </c>
      <c r="C93" s="239" t="s">
        <v>58</v>
      </c>
      <c r="D93" s="240">
        <v>1821.49</v>
      </c>
      <c r="E93" s="241">
        <v>0.80469999999999997</v>
      </c>
      <c r="F93" s="240">
        <v>1465.75</v>
      </c>
      <c r="G93" s="242">
        <v>0.32250000000000001</v>
      </c>
      <c r="H93" s="243">
        <v>587.4</v>
      </c>
      <c r="I93" s="242">
        <v>2.12E-2</v>
      </c>
      <c r="J93" s="243">
        <v>38.549999999999997</v>
      </c>
      <c r="K93" s="242">
        <v>0</v>
      </c>
      <c r="L93" s="243">
        <v>0</v>
      </c>
      <c r="M93" s="244">
        <v>6.0199999999999997E-2</v>
      </c>
      <c r="N93" s="243">
        <v>109.74</v>
      </c>
      <c r="O93" s="241">
        <v>2.2000000000000001E-3</v>
      </c>
      <c r="P93" s="245">
        <v>4</v>
      </c>
      <c r="Q93" s="242">
        <v>0</v>
      </c>
      <c r="R93" s="243">
        <v>0</v>
      </c>
      <c r="S93" s="242">
        <v>0.16739999999999999</v>
      </c>
      <c r="T93" s="243">
        <v>304.99</v>
      </c>
      <c r="U93" s="244">
        <v>5.4999999999999997E-3</v>
      </c>
      <c r="V93" s="245">
        <v>9.98</v>
      </c>
      <c r="W93" s="242">
        <v>1.3836999999999999</v>
      </c>
      <c r="X93" s="240">
        <v>2520.42</v>
      </c>
      <c r="Y93" s="246">
        <v>4341.91</v>
      </c>
    </row>
    <row r="94" spans="1:25" ht="12" customHeight="1" thickBot="1">
      <c r="A94" s="238" t="s">
        <v>228</v>
      </c>
      <c r="B94" s="239" t="s">
        <v>229</v>
      </c>
      <c r="C94" s="239" t="s">
        <v>58</v>
      </c>
      <c r="D94" s="240">
        <v>2428.65</v>
      </c>
      <c r="E94" s="241">
        <v>0.80469999999999997</v>
      </c>
      <c r="F94" s="240">
        <v>1954.34</v>
      </c>
      <c r="G94" s="242">
        <v>0.2419</v>
      </c>
      <c r="H94" s="243">
        <v>587.4</v>
      </c>
      <c r="I94" s="242">
        <v>1.5900000000000001E-2</v>
      </c>
      <c r="J94" s="243">
        <v>38.549999999999997</v>
      </c>
      <c r="K94" s="242">
        <v>0</v>
      </c>
      <c r="L94" s="243">
        <v>0</v>
      </c>
      <c r="M94" s="244">
        <v>3.0200000000000001E-2</v>
      </c>
      <c r="N94" s="245">
        <v>73.31</v>
      </c>
      <c r="O94" s="241">
        <v>1.6000000000000001E-3</v>
      </c>
      <c r="P94" s="245">
        <v>4</v>
      </c>
      <c r="Q94" s="242">
        <v>0</v>
      </c>
      <c r="R94" s="243">
        <v>0</v>
      </c>
      <c r="S94" s="242">
        <v>0.12559999999999999</v>
      </c>
      <c r="T94" s="243">
        <v>304.99</v>
      </c>
      <c r="U94" s="244">
        <v>4.1000000000000003E-3</v>
      </c>
      <c r="V94" s="245">
        <v>9.98</v>
      </c>
      <c r="W94" s="242">
        <v>1.224</v>
      </c>
      <c r="X94" s="240">
        <v>2972.57</v>
      </c>
      <c r="Y94" s="246">
        <v>5401.23</v>
      </c>
    </row>
    <row r="95" spans="1:25" ht="12" customHeight="1" thickBot="1">
      <c r="A95" s="238" t="s">
        <v>230</v>
      </c>
      <c r="B95" s="239" t="s">
        <v>231</v>
      </c>
      <c r="C95" s="239" t="s">
        <v>58</v>
      </c>
      <c r="D95" s="240">
        <v>4084.44</v>
      </c>
      <c r="E95" s="241">
        <v>0.80469999999999997</v>
      </c>
      <c r="F95" s="240">
        <v>3286.75</v>
      </c>
      <c r="G95" s="242">
        <v>0.14380000000000001</v>
      </c>
      <c r="H95" s="243">
        <v>587.4</v>
      </c>
      <c r="I95" s="242">
        <v>9.4000000000000004E-3</v>
      </c>
      <c r="J95" s="243">
        <v>38.549999999999997</v>
      </c>
      <c r="K95" s="242">
        <v>0</v>
      </c>
      <c r="L95" s="243">
        <v>0</v>
      </c>
      <c r="M95" s="244">
        <v>0</v>
      </c>
      <c r="N95" s="245">
        <v>0</v>
      </c>
      <c r="O95" s="241">
        <v>1E-3</v>
      </c>
      <c r="P95" s="245">
        <v>4</v>
      </c>
      <c r="Q95" s="242">
        <v>0</v>
      </c>
      <c r="R95" s="243">
        <v>0</v>
      </c>
      <c r="S95" s="244">
        <v>7.4700000000000003E-2</v>
      </c>
      <c r="T95" s="243">
        <v>304.99</v>
      </c>
      <c r="U95" s="244">
        <v>2.3999999999999998E-3</v>
      </c>
      <c r="V95" s="245">
        <v>9.98</v>
      </c>
      <c r="W95" s="242">
        <v>1.036</v>
      </c>
      <c r="X95" s="240">
        <v>4231.67</v>
      </c>
      <c r="Y95" s="246">
        <v>8316.11</v>
      </c>
    </row>
    <row r="96" spans="1:25" ht="12" customHeight="1" thickBot="1">
      <c r="A96" s="238" t="s">
        <v>232</v>
      </c>
      <c r="B96" s="239" t="s">
        <v>233</v>
      </c>
      <c r="C96" s="239" t="s">
        <v>58</v>
      </c>
      <c r="D96" s="240">
        <v>3782.95</v>
      </c>
      <c r="E96" s="241">
        <v>0.80269999999999997</v>
      </c>
      <c r="F96" s="240">
        <v>3036.57</v>
      </c>
      <c r="G96" s="242">
        <v>0.15529999999999999</v>
      </c>
      <c r="H96" s="243">
        <v>587.4</v>
      </c>
      <c r="I96" s="242">
        <v>1.1599999999999999E-2</v>
      </c>
      <c r="J96" s="243">
        <v>43.78</v>
      </c>
      <c r="K96" s="242">
        <v>0</v>
      </c>
      <c r="L96" s="243">
        <v>0</v>
      </c>
      <c r="M96" s="244">
        <v>0</v>
      </c>
      <c r="N96" s="245">
        <v>0</v>
      </c>
      <c r="O96" s="241">
        <v>1E-3</v>
      </c>
      <c r="P96" s="245">
        <v>3.63</v>
      </c>
      <c r="Q96" s="242">
        <v>0</v>
      </c>
      <c r="R96" s="243">
        <v>0</v>
      </c>
      <c r="S96" s="244">
        <v>8.0600000000000005E-2</v>
      </c>
      <c r="T96" s="243">
        <v>304.99</v>
      </c>
      <c r="U96" s="244">
        <v>2.5999999999999999E-3</v>
      </c>
      <c r="V96" s="245">
        <v>9.98</v>
      </c>
      <c r="W96" s="242">
        <v>1.0538000000000001</v>
      </c>
      <c r="X96" s="240">
        <v>3986.35</v>
      </c>
      <c r="Y96" s="246">
        <v>7769.3</v>
      </c>
    </row>
    <row r="97" spans="1:25" ht="12" customHeight="1" thickBot="1">
      <c r="A97" s="238" t="s">
        <v>234</v>
      </c>
      <c r="B97" s="239" t="s">
        <v>235</v>
      </c>
      <c r="C97" s="239" t="s">
        <v>58</v>
      </c>
      <c r="D97" s="240">
        <v>3837.1</v>
      </c>
      <c r="E97" s="241">
        <v>0.80269999999999997</v>
      </c>
      <c r="F97" s="240">
        <v>3080.04</v>
      </c>
      <c r="G97" s="242">
        <v>0.15310000000000001</v>
      </c>
      <c r="H97" s="243">
        <v>587.4</v>
      </c>
      <c r="I97" s="242">
        <v>1.14E-2</v>
      </c>
      <c r="J97" s="243">
        <v>43.78</v>
      </c>
      <c r="K97" s="242">
        <v>0</v>
      </c>
      <c r="L97" s="243">
        <v>0</v>
      </c>
      <c r="M97" s="244">
        <v>0</v>
      </c>
      <c r="N97" s="245">
        <v>0</v>
      </c>
      <c r="O97" s="241">
        <v>8.9999999999999998E-4</v>
      </c>
      <c r="P97" s="245">
        <v>3.63</v>
      </c>
      <c r="Q97" s="242">
        <v>0</v>
      </c>
      <c r="R97" s="243">
        <v>0</v>
      </c>
      <c r="S97" s="244">
        <v>7.9500000000000001E-2</v>
      </c>
      <c r="T97" s="243">
        <v>304.99</v>
      </c>
      <c r="U97" s="244">
        <v>2.5999999999999999E-3</v>
      </c>
      <c r="V97" s="245">
        <v>9.98</v>
      </c>
      <c r="W97" s="242">
        <v>1.0502</v>
      </c>
      <c r="X97" s="240">
        <v>4029.82</v>
      </c>
      <c r="Y97" s="246">
        <v>7866.92</v>
      </c>
    </row>
    <row r="98" spans="1:25" ht="13.5" thickBot="1">
      <c r="A98" s="238" t="s">
        <v>236</v>
      </c>
      <c r="B98" s="239" t="s">
        <v>237</v>
      </c>
      <c r="C98" s="239" t="s">
        <v>58</v>
      </c>
      <c r="D98" s="240">
        <v>6514.49</v>
      </c>
      <c r="E98" s="241">
        <v>0.80269999999999997</v>
      </c>
      <c r="F98" s="240">
        <v>5229.18</v>
      </c>
      <c r="G98" s="244">
        <v>9.0200000000000002E-2</v>
      </c>
      <c r="H98" s="243">
        <v>587.4</v>
      </c>
      <c r="I98" s="242">
        <v>6.7000000000000002E-3</v>
      </c>
      <c r="J98" s="243">
        <v>43.78</v>
      </c>
      <c r="K98" s="242">
        <v>0</v>
      </c>
      <c r="L98" s="243">
        <v>0</v>
      </c>
      <c r="M98" s="244">
        <v>0</v>
      </c>
      <c r="N98" s="245">
        <v>0</v>
      </c>
      <c r="O98" s="241">
        <v>5.9999999999999995E-4</v>
      </c>
      <c r="P98" s="245">
        <v>3.63</v>
      </c>
      <c r="Q98" s="242">
        <v>0</v>
      </c>
      <c r="R98" s="243">
        <v>0</v>
      </c>
      <c r="S98" s="244">
        <v>4.6800000000000001E-2</v>
      </c>
      <c r="T98" s="243">
        <v>304.99</v>
      </c>
      <c r="U98" s="244">
        <v>1.5E-3</v>
      </c>
      <c r="V98" s="245">
        <v>9.98</v>
      </c>
      <c r="W98" s="244">
        <v>0.94850000000000001</v>
      </c>
      <c r="X98" s="240">
        <v>6178.96</v>
      </c>
      <c r="Y98" s="246">
        <v>12693.45</v>
      </c>
    </row>
  </sheetData>
  <mergeCells count="54">
    <mergeCell ref="F4:F5"/>
    <mergeCell ref="G4:P4"/>
    <mergeCell ref="Q4:V4"/>
    <mergeCell ref="W4:X5"/>
    <mergeCell ref="Y4:Y5"/>
    <mergeCell ref="G5:H5"/>
    <mergeCell ref="I5:J5"/>
    <mergeCell ref="K5:L5"/>
    <mergeCell ref="M5:N5"/>
    <mergeCell ref="O5:P5"/>
    <mergeCell ref="Q5:R5"/>
    <mergeCell ref="S5:T5"/>
    <mergeCell ref="U5:V5"/>
    <mergeCell ref="A4:A6"/>
    <mergeCell ref="B4:B6"/>
    <mergeCell ref="C4:C6"/>
    <mergeCell ref="D4:D5"/>
    <mergeCell ref="E4:E5"/>
    <mergeCell ref="W34:X35"/>
    <mergeCell ref="Y34:Y35"/>
    <mergeCell ref="G35:H35"/>
    <mergeCell ref="I35:J35"/>
    <mergeCell ref="K35:L35"/>
    <mergeCell ref="M35:N35"/>
    <mergeCell ref="O35:P35"/>
    <mergeCell ref="Q35:R35"/>
    <mergeCell ref="S35:T35"/>
    <mergeCell ref="U35:V35"/>
    <mergeCell ref="F68:F70"/>
    <mergeCell ref="G68:P68"/>
    <mergeCell ref="Q68:V68"/>
    <mergeCell ref="A34:A36"/>
    <mergeCell ref="B34:B36"/>
    <mergeCell ref="C34:C36"/>
    <mergeCell ref="D34:D36"/>
    <mergeCell ref="E34:E36"/>
    <mergeCell ref="F34:F36"/>
    <mergeCell ref="A68:A70"/>
    <mergeCell ref="B68:B70"/>
    <mergeCell ref="C68:C70"/>
    <mergeCell ref="D68:D70"/>
    <mergeCell ref="E68:E70"/>
    <mergeCell ref="G34:P34"/>
    <mergeCell ref="Q34:V34"/>
    <mergeCell ref="W68:X69"/>
    <mergeCell ref="Y68:Y69"/>
    <mergeCell ref="G69:H69"/>
    <mergeCell ref="I69:J69"/>
    <mergeCell ref="K69:L69"/>
    <mergeCell ref="M69:N69"/>
    <mergeCell ref="O69:P69"/>
    <mergeCell ref="Q69:R69"/>
    <mergeCell ref="S69:T69"/>
    <mergeCell ref="U69:V69"/>
  </mergeCells>
  <pageMargins left="0.7" right="0.7" top="0.75" bottom="0.75" header="0.3" footer="0.3"/>
  <pageSetup paperSize="9" orientation="portrait" horizontalDpi="4294967295" verticalDpi="4294967295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53B2C3-2562-4BFC-80CA-02D069A5B112}">
  <sheetPr>
    <tabColor theme="7"/>
  </sheetPr>
  <dimension ref="A1:I37"/>
  <sheetViews>
    <sheetView zoomScaleNormal="100" workbookViewId="0">
      <selection activeCell="D5" sqref="D5:F5"/>
    </sheetView>
  </sheetViews>
  <sheetFormatPr defaultColWidth="8.85546875" defaultRowHeight="12.75"/>
  <cols>
    <col min="1" max="1" width="9.28515625" style="281" customWidth="1"/>
    <col min="2" max="2" width="3.28515625" style="281" customWidth="1"/>
    <col min="3" max="3" width="10.42578125" style="281" customWidth="1"/>
    <col min="4" max="4" width="1.140625" style="281" customWidth="1"/>
    <col min="5" max="5" width="3.28515625" style="281" customWidth="1"/>
    <col min="6" max="6" width="43.140625" style="281" customWidth="1"/>
    <col min="7" max="7" width="7.42578125" style="281" customWidth="1"/>
    <col min="8" max="8" width="8.5703125" style="281" bestFit="1" customWidth="1"/>
    <col min="9" max="9" width="11.85546875" style="281" bestFit="1" customWidth="1"/>
    <col min="10" max="11" width="9" style="281" customWidth="1"/>
    <col min="12" max="16384" width="8.85546875" style="281"/>
  </cols>
  <sheetData>
    <row r="1" spans="1:9" ht="16.899999999999999" customHeight="1">
      <c r="A1" s="286" t="s">
        <v>238</v>
      </c>
      <c r="B1" s="286"/>
      <c r="C1" s="286"/>
      <c r="D1" s="286"/>
      <c r="E1" s="286"/>
      <c r="F1" s="286"/>
      <c r="G1" s="286"/>
      <c r="H1" s="286"/>
      <c r="I1" s="286"/>
    </row>
    <row r="2" spans="1:9" ht="13.9" customHeight="1">
      <c r="A2" s="286" t="s">
        <v>730</v>
      </c>
      <c r="B2" s="283"/>
      <c r="C2" s="283"/>
      <c r="D2" s="283"/>
      <c r="E2" s="283"/>
      <c r="F2" s="283"/>
      <c r="G2" s="283"/>
      <c r="H2" s="283"/>
      <c r="I2" s="283"/>
    </row>
    <row r="3" spans="1:9" ht="22.9" customHeight="1">
      <c r="A3" s="498" t="s">
        <v>239</v>
      </c>
      <c r="B3" s="500" t="s">
        <v>240</v>
      </c>
      <c r="C3" s="498"/>
      <c r="D3" s="500" t="s">
        <v>241</v>
      </c>
      <c r="E3" s="502"/>
      <c r="F3" s="498"/>
      <c r="G3" s="498"/>
      <c r="H3" s="496" t="s">
        <v>242</v>
      </c>
      <c r="I3" s="495"/>
    </row>
    <row r="4" spans="1:9" ht="22.15" customHeight="1">
      <c r="A4" s="499"/>
      <c r="B4" s="501"/>
      <c r="C4" s="499"/>
      <c r="D4" s="501"/>
      <c r="E4" s="503"/>
      <c r="F4" s="499"/>
      <c r="G4" s="499"/>
      <c r="H4" s="6" t="s">
        <v>243</v>
      </c>
      <c r="I4" s="7" t="s">
        <v>244</v>
      </c>
    </row>
    <row r="5" spans="1:9" ht="22.15" customHeight="1">
      <c r="A5" s="490" t="s">
        <v>245</v>
      </c>
      <c r="B5" s="488" t="s">
        <v>246</v>
      </c>
      <c r="C5" s="489"/>
      <c r="D5" s="488" t="s">
        <v>247</v>
      </c>
      <c r="E5" s="466"/>
      <c r="F5" s="497"/>
      <c r="G5" s="284" t="s">
        <v>248</v>
      </c>
      <c r="H5" s="280">
        <v>38.72</v>
      </c>
      <c r="I5" s="280">
        <v>5.65</v>
      </c>
    </row>
    <row r="6" spans="1:9" ht="22.15" customHeight="1">
      <c r="A6" s="493"/>
      <c r="B6" s="488" t="s">
        <v>249</v>
      </c>
      <c r="C6" s="489"/>
      <c r="D6" s="488" t="s">
        <v>250</v>
      </c>
      <c r="E6" s="466"/>
      <c r="F6" s="497"/>
      <c r="G6" s="284" t="s">
        <v>248</v>
      </c>
      <c r="H6" s="280">
        <v>86.46</v>
      </c>
      <c r="I6" s="280">
        <v>25.29</v>
      </c>
    </row>
    <row r="7" spans="1:9" ht="22.15" customHeight="1">
      <c r="A7" s="491"/>
      <c r="B7" s="488" t="s">
        <v>251</v>
      </c>
      <c r="C7" s="489"/>
      <c r="D7" s="488" t="s">
        <v>252</v>
      </c>
      <c r="E7" s="482"/>
      <c r="F7" s="489"/>
      <c r="G7" s="284" t="s">
        <v>248</v>
      </c>
      <c r="H7" s="280">
        <v>75.06</v>
      </c>
      <c r="I7" s="280">
        <v>38.31</v>
      </c>
    </row>
    <row r="8" spans="1:9" ht="14.45" customHeight="1">
      <c r="A8" s="285"/>
      <c r="B8" s="285"/>
      <c r="C8" s="285"/>
      <c r="D8" s="285"/>
      <c r="E8" s="285"/>
      <c r="F8" s="285"/>
      <c r="G8" s="285"/>
      <c r="H8" s="285"/>
      <c r="I8" s="285"/>
    </row>
    <row r="9" spans="1:9" ht="46.15" customHeight="1">
      <c r="A9" s="494" t="s">
        <v>239</v>
      </c>
      <c r="B9" s="495"/>
      <c r="C9" s="496" t="s">
        <v>240</v>
      </c>
      <c r="D9" s="494"/>
      <c r="E9" s="495"/>
      <c r="F9" s="8" t="s">
        <v>241</v>
      </c>
      <c r="G9" s="496" t="s">
        <v>253</v>
      </c>
      <c r="H9" s="494"/>
      <c r="I9" s="6" t="s">
        <v>242</v>
      </c>
    </row>
    <row r="10" spans="1:9" ht="22.15" customHeight="1">
      <c r="A10" s="471" t="s">
        <v>254</v>
      </c>
      <c r="B10" s="490"/>
      <c r="C10" s="488" t="s">
        <v>255</v>
      </c>
      <c r="D10" s="482"/>
      <c r="E10" s="489"/>
      <c r="F10" s="279" t="s">
        <v>256</v>
      </c>
      <c r="G10" s="488" t="s">
        <v>257</v>
      </c>
      <c r="H10" s="482"/>
      <c r="I10" s="280">
        <v>43.25</v>
      </c>
    </row>
    <row r="11" spans="1:9" ht="22.15" customHeight="1">
      <c r="A11" s="462"/>
      <c r="B11" s="491"/>
      <c r="C11" s="488" t="s">
        <v>258</v>
      </c>
      <c r="D11" s="482"/>
      <c r="E11" s="489"/>
      <c r="F11" s="279" t="s">
        <v>259</v>
      </c>
      <c r="G11" s="488" t="s">
        <v>257</v>
      </c>
      <c r="H11" s="482"/>
      <c r="I11" s="280">
        <v>28.28</v>
      </c>
    </row>
    <row r="12" spans="1:9" ht="22.15" customHeight="1">
      <c r="A12" s="471" t="s">
        <v>260</v>
      </c>
      <c r="B12" s="490"/>
      <c r="C12" s="488" t="s">
        <v>261</v>
      </c>
      <c r="D12" s="482"/>
      <c r="E12" s="489"/>
      <c r="F12" s="279" t="s">
        <v>262</v>
      </c>
      <c r="G12" s="488" t="s">
        <v>263</v>
      </c>
      <c r="H12" s="482"/>
      <c r="I12" s="280">
        <v>506.57</v>
      </c>
    </row>
    <row r="13" spans="1:9" ht="22.15" customHeight="1">
      <c r="A13" s="462"/>
      <c r="B13" s="491"/>
      <c r="C13" s="488" t="s">
        <v>264</v>
      </c>
      <c r="D13" s="482"/>
      <c r="E13" s="489"/>
      <c r="F13" s="279" t="s">
        <v>265</v>
      </c>
      <c r="G13" s="488" t="s">
        <v>263</v>
      </c>
      <c r="H13" s="482"/>
      <c r="I13" s="280">
        <v>40.24</v>
      </c>
    </row>
    <row r="14" spans="1:9" ht="22.15" customHeight="1">
      <c r="A14" s="471" t="s">
        <v>266</v>
      </c>
      <c r="B14" s="490"/>
      <c r="C14" s="488" t="s">
        <v>267</v>
      </c>
      <c r="D14" s="482"/>
      <c r="E14" s="489"/>
      <c r="F14" s="279" t="s">
        <v>268</v>
      </c>
      <c r="G14" s="488" t="s">
        <v>269</v>
      </c>
      <c r="H14" s="482"/>
      <c r="I14" s="282">
        <v>6226.93</v>
      </c>
    </row>
    <row r="15" spans="1:9" ht="22.15" customHeight="1">
      <c r="A15" s="492"/>
      <c r="B15" s="493"/>
      <c r="C15" s="488" t="s">
        <v>270</v>
      </c>
      <c r="D15" s="482"/>
      <c r="E15" s="489"/>
      <c r="F15" s="279" t="s">
        <v>271</v>
      </c>
      <c r="G15" s="488" t="s">
        <v>269</v>
      </c>
      <c r="H15" s="482"/>
      <c r="I15" s="282">
        <v>3990.75</v>
      </c>
    </row>
    <row r="16" spans="1:9" ht="22.15" customHeight="1">
      <c r="A16" s="492"/>
      <c r="B16" s="493"/>
      <c r="C16" s="488" t="s">
        <v>272</v>
      </c>
      <c r="D16" s="482"/>
      <c r="E16" s="489"/>
      <c r="F16" s="279" t="s">
        <v>273</v>
      </c>
      <c r="G16" s="488" t="s">
        <v>269</v>
      </c>
      <c r="H16" s="482"/>
      <c r="I16" s="282">
        <v>4388.43</v>
      </c>
    </row>
    <row r="17" spans="1:9" ht="22.15" customHeight="1">
      <c r="A17" s="462"/>
      <c r="B17" s="491"/>
      <c r="C17" s="488" t="s">
        <v>274</v>
      </c>
      <c r="D17" s="482"/>
      <c r="E17" s="489"/>
      <c r="F17" s="279" t="s">
        <v>275</v>
      </c>
      <c r="G17" s="488" t="s">
        <v>269</v>
      </c>
      <c r="H17" s="482"/>
      <c r="I17" s="282">
        <v>2919.73</v>
      </c>
    </row>
    <row r="18" spans="1:9" ht="22.15" customHeight="1">
      <c r="A18" s="471" t="s">
        <v>276</v>
      </c>
      <c r="B18" s="490"/>
      <c r="C18" s="488" t="s">
        <v>277</v>
      </c>
      <c r="D18" s="482"/>
      <c r="E18" s="489"/>
      <c r="F18" s="279" t="s">
        <v>262</v>
      </c>
      <c r="G18" s="488" t="s">
        <v>278</v>
      </c>
      <c r="H18" s="482"/>
      <c r="I18" s="280">
        <v>122.58</v>
      </c>
    </row>
    <row r="19" spans="1:9" ht="22.15" customHeight="1">
      <c r="A19" s="462"/>
      <c r="B19" s="491"/>
      <c r="C19" s="488" t="s">
        <v>279</v>
      </c>
      <c r="D19" s="482"/>
      <c r="E19" s="489"/>
      <c r="F19" s="279" t="s">
        <v>265</v>
      </c>
      <c r="G19" s="488" t="s">
        <v>263</v>
      </c>
      <c r="H19" s="482"/>
      <c r="I19" s="280">
        <v>197.78</v>
      </c>
    </row>
    <row r="20" spans="1:9" ht="13.9" customHeight="1">
      <c r="A20" s="287"/>
      <c r="B20" s="287"/>
      <c r="C20" s="287"/>
      <c r="D20" s="287"/>
      <c r="E20" s="287"/>
      <c r="F20" s="287"/>
      <c r="G20" s="287"/>
      <c r="H20" s="287"/>
      <c r="I20" s="288"/>
    </row>
    <row r="21" spans="1:9" ht="19.899999999999999" customHeight="1">
      <c r="A21" s="485" t="s">
        <v>280</v>
      </c>
      <c r="B21" s="486"/>
      <c r="C21" s="486"/>
      <c r="D21" s="486"/>
      <c r="E21" s="486"/>
      <c r="F21" s="486"/>
      <c r="G21" s="486"/>
      <c r="H21" s="486"/>
      <c r="I21" s="487"/>
    </row>
    <row r="22" spans="1:9" ht="19.899999999999999" customHeight="1">
      <c r="A22" s="465"/>
      <c r="B22" s="466"/>
      <c r="C22" s="466"/>
      <c r="D22" s="466"/>
      <c r="E22" s="478" t="s">
        <v>281</v>
      </c>
      <c r="F22" s="478"/>
      <c r="G22" s="479" t="s">
        <v>282</v>
      </c>
      <c r="H22" s="480"/>
      <c r="I22" s="289" t="s">
        <v>283</v>
      </c>
    </row>
    <row r="23" spans="1:9" ht="19.899999999999999" customHeight="1">
      <c r="A23" s="470" t="s">
        <v>284</v>
      </c>
      <c r="B23" s="471"/>
      <c r="C23" s="471"/>
      <c r="D23" s="471"/>
      <c r="E23" s="471" t="s">
        <v>285</v>
      </c>
      <c r="F23" s="471"/>
      <c r="G23" s="472">
        <v>6.9</v>
      </c>
      <c r="H23" s="473"/>
      <c r="I23" s="290">
        <v>10</v>
      </c>
    </row>
    <row r="24" spans="1:9" ht="19.149999999999999" customHeight="1">
      <c r="A24" s="474" t="s">
        <v>286</v>
      </c>
      <c r="B24" s="475"/>
      <c r="C24" s="475"/>
      <c r="D24" s="475"/>
      <c r="E24" s="475" t="s">
        <v>287</v>
      </c>
      <c r="F24" s="475"/>
      <c r="G24" s="476">
        <v>0.95</v>
      </c>
      <c r="H24" s="477"/>
      <c r="I24" s="291">
        <v>1.38</v>
      </c>
    </row>
    <row r="25" spans="1:9" ht="19.149999999999999" customHeight="1">
      <c r="A25" s="474" t="s">
        <v>288</v>
      </c>
      <c r="B25" s="475"/>
      <c r="C25" s="475"/>
      <c r="D25" s="475"/>
      <c r="E25" s="475" t="s">
        <v>289</v>
      </c>
      <c r="F25" s="475"/>
      <c r="G25" s="476">
        <v>0.5</v>
      </c>
      <c r="H25" s="477"/>
      <c r="I25" s="291">
        <v>0.72</v>
      </c>
    </row>
    <row r="26" spans="1:9" ht="19.899999999999999" customHeight="1">
      <c r="A26" s="461" t="s">
        <v>290</v>
      </c>
      <c r="B26" s="462"/>
      <c r="C26" s="462"/>
      <c r="D26" s="462"/>
      <c r="E26" s="462" t="s">
        <v>291</v>
      </c>
      <c r="F26" s="462"/>
      <c r="G26" s="463">
        <v>0.1</v>
      </c>
      <c r="H26" s="464"/>
      <c r="I26" s="292">
        <v>0.14000000000000001</v>
      </c>
    </row>
    <row r="27" spans="1:9" ht="19.899999999999999" customHeight="1">
      <c r="A27" s="465"/>
      <c r="B27" s="466"/>
      <c r="C27" s="466"/>
      <c r="D27" s="466"/>
      <c r="E27" s="467" t="s">
        <v>292</v>
      </c>
      <c r="F27" s="467"/>
      <c r="G27" s="468">
        <f>SUM(G23:H26)</f>
        <v>8.4500000000000011</v>
      </c>
      <c r="H27" s="469"/>
      <c r="I27" s="293">
        <f>SUM(I23:I26)</f>
        <v>12.24</v>
      </c>
    </row>
    <row r="28" spans="1:9" ht="19.899999999999999" customHeight="1">
      <c r="A28" s="465"/>
      <c r="B28" s="466"/>
      <c r="C28" s="466"/>
      <c r="D28" s="466"/>
      <c r="E28" s="478" t="s">
        <v>293</v>
      </c>
      <c r="F28" s="478"/>
      <c r="G28" s="479" t="s">
        <v>282</v>
      </c>
      <c r="H28" s="480"/>
      <c r="I28" s="289" t="s">
        <v>283</v>
      </c>
    </row>
    <row r="29" spans="1:9" ht="19.899999999999999" customHeight="1">
      <c r="A29" s="481" t="s">
        <v>294</v>
      </c>
      <c r="B29" s="482"/>
      <c r="C29" s="482"/>
      <c r="D29" s="482"/>
      <c r="E29" s="482" t="s">
        <v>285</v>
      </c>
      <c r="F29" s="482"/>
      <c r="G29" s="483">
        <v>8.2799999999999994</v>
      </c>
      <c r="H29" s="484"/>
      <c r="I29" s="294">
        <v>12</v>
      </c>
    </row>
    <row r="30" spans="1:9" ht="19.899999999999999" customHeight="1">
      <c r="A30" s="465"/>
      <c r="B30" s="466"/>
      <c r="C30" s="466"/>
      <c r="D30" s="466"/>
      <c r="E30" s="467" t="s">
        <v>295</v>
      </c>
      <c r="F30" s="467"/>
      <c r="G30" s="468">
        <f>G29</f>
        <v>8.2799999999999994</v>
      </c>
      <c r="H30" s="469"/>
      <c r="I30" s="293">
        <v>12</v>
      </c>
    </row>
    <row r="31" spans="1:9" ht="19.899999999999999" customHeight="1">
      <c r="A31" s="465"/>
      <c r="B31" s="466"/>
      <c r="C31" s="466"/>
      <c r="D31" s="466"/>
      <c r="E31" s="478" t="s">
        <v>296</v>
      </c>
      <c r="F31" s="478"/>
      <c r="G31" s="479" t="s">
        <v>282</v>
      </c>
      <c r="H31" s="480"/>
      <c r="I31" s="289" t="s">
        <v>283</v>
      </c>
    </row>
    <row r="32" spans="1:9" ht="19.899999999999999" customHeight="1">
      <c r="A32" s="470" t="s">
        <v>297</v>
      </c>
      <c r="B32" s="471"/>
      <c r="C32" s="471"/>
      <c r="D32" s="471"/>
      <c r="E32" s="471" t="s">
        <v>298</v>
      </c>
      <c r="F32" s="471"/>
      <c r="G32" s="472">
        <v>1.65</v>
      </c>
      <c r="H32" s="473"/>
      <c r="I32" s="290">
        <v>2.39</v>
      </c>
    </row>
    <row r="33" spans="1:9" ht="19.149999999999999" customHeight="1">
      <c r="A33" s="474" t="s">
        <v>299</v>
      </c>
      <c r="B33" s="475"/>
      <c r="C33" s="475"/>
      <c r="D33" s="475"/>
      <c r="E33" s="475" t="s">
        <v>300</v>
      </c>
      <c r="F33" s="475"/>
      <c r="G33" s="476">
        <v>7.6</v>
      </c>
      <c r="H33" s="477"/>
      <c r="I33" s="295">
        <v>11.01</v>
      </c>
    </row>
    <row r="34" spans="1:9" ht="19.149999999999999" customHeight="1">
      <c r="A34" s="461" t="s">
        <v>301</v>
      </c>
      <c r="B34" s="462"/>
      <c r="C34" s="462"/>
      <c r="D34" s="462"/>
      <c r="E34" s="462" t="s">
        <v>302</v>
      </c>
      <c r="F34" s="462"/>
      <c r="G34" s="463">
        <v>5</v>
      </c>
      <c r="H34" s="464"/>
      <c r="I34" s="296">
        <v>7.24</v>
      </c>
    </row>
    <row r="35" spans="1:9" ht="19.899999999999999" customHeight="1">
      <c r="A35" s="465"/>
      <c r="B35" s="466"/>
      <c r="C35" s="466"/>
      <c r="D35" s="466"/>
      <c r="E35" s="467" t="s">
        <v>303</v>
      </c>
      <c r="F35" s="467"/>
      <c r="G35" s="468">
        <v>14.25</v>
      </c>
      <c r="H35" s="469"/>
      <c r="I35" s="297">
        <f>SUM(I32:I34)</f>
        <v>20.64</v>
      </c>
    </row>
    <row r="36" spans="1:9" ht="19.899999999999999" customHeight="1">
      <c r="A36" s="453"/>
      <c r="B36" s="454"/>
      <c r="C36" s="454"/>
      <c r="D36" s="454"/>
      <c r="E36" s="455" t="s">
        <v>304</v>
      </c>
      <c r="F36" s="455"/>
      <c r="G36" s="456">
        <f>G27+G30+G35</f>
        <v>30.98</v>
      </c>
      <c r="H36" s="457"/>
      <c r="I36" s="298">
        <f>I27+I30+I35</f>
        <v>44.88</v>
      </c>
    </row>
    <row r="37" spans="1:9" ht="31.15" customHeight="1">
      <c r="A37" s="458" t="s">
        <v>305</v>
      </c>
      <c r="B37" s="459"/>
      <c r="C37" s="459"/>
      <c r="D37" s="459"/>
      <c r="E37" s="459"/>
      <c r="F37" s="459"/>
      <c r="G37" s="459"/>
      <c r="H37" s="459"/>
      <c r="I37" s="460"/>
    </row>
  </sheetData>
  <mergeCells count="86">
    <mergeCell ref="A3:A4"/>
    <mergeCell ref="B3:C4"/>
    <mergeCell ref="D3:F4"/>
    <mergeCell ref="G3:G4"/>
    <mergeCell ref="H3:I3"/>
    <mergeCell ref="A5:A7"/>
    <mergeCell ref="B5:C5"/>
    <mergeCell ref="D5:F5"/>
    <mergeCell ref="B6:C6"/>
    <mergeCell ref="D6:F6"/>
    <mergeCell ref="B7:C7"/>
    <mergeCell ref="D7:F7"/>
    <mergeCell ref="A12:B13"/>
    <mergeCell ref="C12:E12"/>
    <mergeCell ref="G12:H12"/>
    <mergeCell ref="C13:E13"/>
    <mergeCell ref="G13:H13"/>
    <mergeCell ref="A9:B9"/>
    <mergeCell ref="C9:E9"/>
    <mergeCell ref="G9:H9"/>
    <mergeCell ref="A10:B11"/>
    <mergeCell ref="C10:E10"/>
    <mergeCell ref="G10:H10"/>
    <mergeCell ref="C11:E11"/>
    <mergeCell ref="G11:H11"/>
    <mergeCell ref="C16:E16"/>
    <mergeCell ref="G16:H16"/>
    <mergeCell ref="C17:E17"/>
    <mergeCell ref="G17:H17"/>
    <mergeCell ref="A18:B19"/>
    <mergeCell ref="C18:E18"/>
    <mergeCell ref="G18:H18"/>
    <mergeCell ref="C19:E19"/>
    <mergeCell ref="G19:H19"/>
    <mergeCell ref="A14:B17"/>
    <mergeCell ref="C14:E14"/>
    <mergeCell ref="G14:H14"/>
    <mergeCell ref="C15:E15"/>
    <mergeCell ref="G15:H15"/>
    <mergeCell ref="A21:I21"/>
    <mergeCell ref="A22:D22"/>
    <mergeCell ref="E22:F22"/>
    <mergeCell ref="G22:H22"/>
    <mergeCell ref="A23:D23"/>
    <mergeCell ref="E23:F23"/>
    <mergeCell ref="G23:H23"/>
    <mergeCell ref="A24:D24"/>
    <mergeCell ref="E24:F24"/>
    <mergeCell ref="G24:H24"/>
    <mergeCell ref="A25:D25"/>
    <mergeCell ref="E25:F25"/>
    <mergeCell ref="G25:H25"/>
    <mergeCell ref="A26:D26"/>
    <mergeCell ref="E26:F26"/>
    <mergeCell ref="G26:H26"/>
    <mergeCell ref="A27:D27"/>
    <mergeCell ref="E27:F27"/>
    <mergeCell ref="G27:H27"/>
    <mergeCell ref="A28:D28"/>
    <mergeCell ref="E28:F28"/>
    <mergeCell ref="G28:H28"/>
    <mergeCell ref="A29:D29"/>
    <mergeCell ref="E29:F29"/>
    <mergeCell ref="G29:H29"/>
    <mergeCell ref="A30:D30"/>
    <mergeCell ref="E30:F30"/>
    <mergeCell ref="G30:H30"/>
    <mergeCell ref="A31:D31"/>
    <mergeCell ref="E31:F31"/>
    <mergeCell ref="G31:H31"/>
    <mergeCell ref="A32:D32"/>
    <mergeCell ref="E32:F32"/>
    <mergeCell ref="G32:H32"/>
    <mergeCell ref="A33:D33"/>
    <mergeCell ref="E33:F33"/>
    <mergeCell ref="G33:H33"/>
    <mergeCell ref="A36:D36"/>
    <mergeCell ref="E36:F36"/>
    <mergeCell ref="G36:H36"/>
    <mergeCell ref="A37:I37"/>
    <mergeCell ref="A34:D34"/>
    <mergeCell ref="E34:F34"/>
    <mergeCell ref="G34:H34"/>
    <mergeCell ref="A35:D35"/>
    <mergeCell ref="E35:F35"/>
    <mergeCell ref="G35:H35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0D1A92-75BE-4202-AEAC-F39E61470AEA}">
  <sheetPr>
    <tabColor theme="8" tint="0.79998168889431442"/>
  </sheetPr>
  <dimension ref="A1:E5"/>
  <sheetViews>
    <sheetView workbookViewId="0">
      <selection activeCell="I17" sqref="I17"/>
    </sheetView>
  </sheetViews>
  <sheetFormatPr defaultRowHeight="15"/>
  <cols>
    <col min="1" max="1" width="48.140625" customWidth="1"/>
    <col min="2" max="3" width="23.5703125" customWidth="1"/>
    <col min="4" max="4" width="22.28515625" bestFit="1" customWidth="1"/>
    <col min="5" max="5" width="9.42578125" bestFit="1" customWidth="1"/>
  </cols>
  <sheetData>
    <row r="1" spans="1:5">
      <c r="A1" s="504" t="s">
        <v>635</v>
      </c>
      <c r="B1" s="504"/>
      <c r="C1" s="504"/>
      <c r="D1" s="504"/>
      <c r="E1" s="504"/>
    </row>
    <row r="2" spans="1:5" ht="38.25">
      <c r="A2" s="17" t="s">
        <v>409</v>
      </c>
      <c r="B2" s="17" t="s">
        <v>636</v>
      </c>
      <c r="C2" s="17" t="s">
        <v>410</v>
      </c>
      <c r="D2" s="17" t="s">
        <v>411</v>
      </c>
      <c r="E2" s="18" t="s">
        <v>412</v>
      </c>
    </row>
    <row r="3" spans="1:5" ht="25.5">
      <c r="A3" s="19" t="s">
        <v>637</v>
      </c>
      <c r="B3" s="20">
        <v>433.49</v>
      </c>
      <c r="C3" s="20">
        <v>387.86</v>
      </c>
      <c r="D3" s="21">
        <v>342.23</v>
      </c>
      <c r="E3" s="21">
        <f>AVERAGE(B3:D3)</f>
        <v>387.85999999999996</v>
      </c>
    </row>
    <row r="4" spans="1:5" ht="25.5">
      <c r="A4" s="22" t="s">
        <v>638</v>
      </c>
      <c r="B4" s="20">
        <v>381.14</v>
      </c>
      <c r="C4" s="20">
        <v>341.02</v>
      </c>
      <c r="D4" s="21">
        <v>300.89999999999998</v>
      </c>
      <c r="E4" s="21">
        <f>AVERAGE(B4:D4)</f>
        <v>341.02</v>
      </c>
    </row>
    <row r="5" spans="1:5">
      <c r="A5" s="505" t="s">
        <v>413</v>
      </c>
      <c r="B5" s="506"/>
      <c r="C5" s="506"/>
      <c r="D5" s="507"/>
      <c r="E5" s="23">
        <f>AVERAGE(E3:E4)</f>
        <v>364.43999999999994</v>
      </c>
    </row>
  </sheetData>
  <mergeCells count="2">
    <mergeCell ref="A1:E1"/>
    <mergeCell ref="A5:D5"/>
  </mergeCells>
  <pageMargins left="0.511811024" right="0.511811024" top="0.78740157499999996" bottom="0.78740157499999996" header="0.31496062000000002" footer="0.3149606200000000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CF012E-ADFA-49EE-9153-657CE290F984}">
  <sheetPr>
    <tabColor theme="9" tint="0.59999389629810485"/>
  </sheetPr>
  <dimension ref="A1:S91"/>
  <sheetViews>
    <sheetView zoomScale="82" zoomScaleNormal="82" workbookViewId="0">
      <selection activeCell="E58" sqref="E58"/>
    </sheetView>
  </sheetViews>
  <sheetFormatPr defaultRowHeight="15"/>
  <cols>
    <col min="1" max="1" width="8.85546875" style="27" customWidth="1"/>
    <col min="2" max="2" width="50.140625" style="27" customWidth="1"/>
    <col min="3" max="5" width="17.42578125" style="27" customWidth="1"/>
    <col min="6" max="7" width="15.42578125" style="27" customWidth="1"/>
    <col min="8" max="8" width="15" style="27" customWidth="1"/>
    <col min="9" max="9" width="21.85546875" style="27" customWidth="1"/>
    <col min="10" max="10" width="13.5703125" style="27" customWidth="1"/>
    <col min="11" max="12" width="20.28515625" style="27" customWidth="1"/>
    <col min="13" max="13" width="18.5703125" style="27" customWidth="1"/>
    <col min="14" max="14" width="9.140625" style="27"/>
    <col min="15" max="15" width="21.85546875" style="27" customWidth="1"/>
    <col min="16" max="16" width="19.7109375" style="27" customWidth="1"/>
    <col min="17" max="18" width="20.28515625" style="27" customWidth="1"/>
    <col min="19" max="19" width="18.5703125" style="27" customWidth="1"/>
    <col min="20" max="16384" width="9.140625" style="27"/>
  </cols>
  <sheetData>
    <row r="1" spans="1:16" s="32" customFormat="1" ht="30" customHeight="1">
      <c r="A1" s="510" t="s">
        <v>396</v>
      </c>
      <c r="B1" s="510"/>
      <c r="C1" s="510"/>
      <c r="D1" s="510"/>
      <c r="E1" s="510"/>
      <c r="F1" s="510"/>
      <c r="G1" s="510"/>
      <c r="H1" s="510"/>
      <c r="I1" s="510"/>
      <c r="J1" s="510"/>
      <c r="K1" s="510"/>
      <c r="L1" s="510"/>
      <c r="M1" s="510"/>
      <c r="N1" s="27"/>
      <c r="O1" s="27"/>
      <c r="P1" s="27"/>
    </row>
    <row r="2" spans="1:16" s="32" customFormat="1" ht="30" customHeight="1" thickBot="1">
      <c r="A2" s="511" t="s">
        <v>599</v>
      </c>
      <c r="B2" s="511"/>
      <c r="C2" s="511"/>
      <c r="D2" s="511"/>
      <c r="E2" s="511"/>
      <c r="F2" s="511"/>
      <c r="G2" s="511"/>
      <c r="H2" s="511"/>
      <c r="I2" s="511"/>
      <c r="J2" s="511"/>
      <c r="K2" s="511"/>
      <c r="L2" s="511"/>
      <c r="M2" s="511"/>
      <c r="N2" s="27"/>
      <c r="O2" s="27"/>
      <c r="P2" s="27"/>
    </row>
    <row r="3" spans="1:16">
      <c r="A3" s="386" t="s">
        <v>397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8"/>
    </row>
    <row r="4" spans="1:16" s="33" customFormat="1" ht="60">
      <c r="A4" s="155" t="s">
        <v>378</v>
      </c>
      <c r="B4" s="68" t="s">
        <v>306</v>
      </c>
      <c r="C4" s="68" t="s">
        <v>307</v>
      </c>
      <c r="D4" s="68" t="s">
        <v>377</v>
      </c>
      <c r="E4" s="68" t="s">
        <v>308</v>
      </c>
      <c r="F4" s="68" t="s">
        <v>309</v>
      </c>
      <c r="G4" s="68" t="s">
        <v>762</v>
      </c>
      <c r="H4" s="68" t="s">
        <v>310</v>
      </c>
      <c r="I4" s="68" t="s">
        <v>311</v>
      </c>
      <c r="J4" s="68" t="s">
        <v>312</v>
      </c>
      <c r="K4" s="68" t="s">
        <v>319</v>
      </c>
      <c r="L4" s="68" t="s">
        <v>320</v>
      </c>
      <c r="M4" s="72" t="s">
        <v>321</v>
      </c>
      <c r="N4" s="32"/>
      <c r="O4" s="32"/>
      <c r="P4" s="32"/>
    </row>
    <row r="5" spans="1:16" s="33" customFormat="1" ht="17.25">
      <c r="A5" s="512" t="s">
        <v>489</v>
      </c>
      <c r="B5" s="340" t="s">
        <v>447</v>
      </c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1"/>
      <c r="N5" s="27"/>
      <c r="O5" s="27"/>
      <c r="P5" s="27"/>
    </row>
    <row r="6" spans="1:16" ht="17.25">
      <c r="A6" s="512"/>
      <c r="B6" s="79" t="s">
        <v>17</v>
      </c>
      <c r="C6" s="80" t="s">
        <v>18</v>
      </c>
      <c r="D6" s="509">
        <f>'Mapa de Cotação - FWD, IRI, LVC'!Q5/('Mapa de Cotação - FWD, IRI, LVC'!Q5+'Mapa de Cotação - FWD, IRI, LVC'!Q6)</f>
        <v>0.39566012637179915</v>
      </c>
      <c r="E6" s="156">
        <v>1</v>
      </c>
      <c r="F6" s="50">
        <v>12</v>
      </c>
      <c r="G6" s="271">
        <f>$D$6*E6*F6*176</f>
        <v>835.63418689723983</v>
      </c>
      <c r="H6" s="36">
        <f>VLOOKUP(C6,'Tabela DNIT-Consult-MO'!$A:$D,4,FALSE)</f>
        <v>16848.3</v>
      </c>
      <c r="I6" s="36">
        <f>F6*H6*$D$6*E6</f>
        <v>79994.406085799797</v>
      </c>
      <c r="J6" s="70">
        <f>VLOOKUP(C6,'Tabela DNIT-Consult-MO'!$A:$F,5,FALSE)</f>
        <v>0.80049999999999999</v>
      </c>
      <c r="K6" s="36">
        <f>H6*J6</f>
        <v>13487.064149999998</v>
      </c>
      <c r="L6" s="36">
        <f>I6*J6</f>
        <v>64035.522071682739</v>
      </c>
      <c r="M6" s="37">
        <f>I6+L6</f>
        <v>144029.92815748253</v>
      </c>
      <c r="N6" s="33"/>
      <c r="O6" s="33"/>
      <c r="P6" s="33"/>
    </row>
    <row r="7" spans="1:16" ht="17.25">
      <c r="A7" s="512"/>
      <c r="B7" s="79" t="s">
        <v>19</v>
      </c>
      <c r="C7" s="80" t="s">
        <v>20</v>
      </c>
      <c r="D7" s="509"/>
      <c r="E7" s="156">
        <v>1</v>
      </c>
      <c r="F7" s="50">
        <v>12</v>
      </c>
      <c r="G7" s="271">
        <f>$D$6*E7*F7*176</f>
        <v>835.63418689723983</v>
      </c>
      <c r="H7" s="36">
        <f>VLOOKUP(C7,'Tabela DNIT-Consult-MO'!$A:$D,4,FALSE)</f>
        <v>3782.95</v>
      </c>
      <c r="I7" s="36">
        <f>F7*H7*$D$6*E7</f>
        <v>17961.14970069837</v>
      </c>
      <c r="J7" s="70">
        <f>VLOOKUP(C7,'Tabela DNIT-Consult-MO'!$A:$F,5,FALSE)</f>
        <v>0.80269999999999997</v>
      </c>
      <c r="K7" s="36">
        <f>H7*J7</f>
        <v>3036.5739649999996</v>
      </c>
      <c r="L7" s="36">
        <f>I7*J7</f>
        <v>14417.414864750581</v>
      </c>
      <c r="M7" s="37">
        <f>I7+L7</f>
        <v>32378.564565448949</v>
      </c>
      <c r="N7" s="33"/>
      <c r="O7" s="33"/>
      <c r="P7" s="33"/>
    </row>
    <row r="8" spans="1:16" ht="17.25">
      <c r="A8" s="512"/>
      <c r="B8" s="79" t="s">
        <v>21</v>
      </c>
      <c r="C8" s="80" t="s">
        <v>22</v>
      </c>
      <c r="D8" s="509"/>
      <c r="E8" s="156">
        <v>1</v>
      </c>
      <c r="F8" s="50">
        <v>12</v>
      </c>
      <c r="G8" s="271">
        <f>$D$6*E8*F8*176</f>
        <v>835.63418689723983</v>
      </c>
      <c r="H8" s="36">
        <f>VLOOKUP(C8,'Tabela DNIT-Consult-MO'!$A:$D,4,FALSE)</f>
        <v>2189.27</v>
      </c>
      <c r="I8" s="36">
        <f>F8*H8*$D$6*E8</f>
        <v>10394.482138343863</v>
      </c>
      <c r="J8" s="70">
        <f>VLOOKUP(C8,'Tabela DNIT-Consult-MO'!$A:$F,5,FALSE)</f>
        <v>0.80310000000000004</v>
      </c>
      <c r="K8" s="36">
        <f>H8*J8</f>
        <v>1758.2027370000001</v>
      </c>
      <c r="L8" s="36">
        <f>I8*J8</f>
        <v>8347.8086053039569</v>
      </c>
      <c r="M8" s="37">
        <f>I8+L8</f>
        <v>18742.29074364782</v>
      </c>
      <c r="N8" s="33"/>
      <c r="O8" s="33"/>
      <c r="P8" s="33"/>
    </row>
    <row r="9" spans="1:16" ht="15" customHeight="1">
      <c r="A9" s="512"/>
      <c r="B9" s="79" t="s">
        <v>23</v>
      </c>
      <c r="C9" s="80" t="s">
        <v>24</v>
      </c>
      <c r="D9" s="509"/>
      <c r="E9" s="156">
        <v>1</v>
      </c>
      <c r="F9" s="50">
        <v>12</v>
      </c>
      <c r="G9" s="271">
        <f>$D$6*E9*F9*176</f>
        <v>835.63418689723983</v>
      </c>
      <c r="H9" s="36">
        <f>VLOOKUP(C9,'Tabela DNIT-Consult-MO'!$A:$D,4,FALSE)</f>
        <v>1801.62</v>
      </c>
      <c r="I9" s="36">
        <f>F9*H9*$D$6*E9</f>
        <v>8553.9503624875288</v>
      </c>
      <c r="J9" s="70">
        <f>VLOOKUP(C9,'Tabela DNIT-Consult-MO'!$A:$F,5,FALSE)</f>
        <v>0.80479999999999996</v>
      </c>
      <c r="K9" s="36">
        <f>H9*J9</f>
        <v>1449.9437759999998</v>
      </c>
      <c r="L9" s="36">
        <f>I9*J9</f>
        <v>6884.2192517299627</v>
      </c>
      <c r="M9" s="37">
        <f>I9+L9</f>
        <v>15438.169614217491</v>
      </c>
    </row>
    <row r="10" spans="1:16" ht="15" customHeight="1">
      <c r="A10" s="512"/>
      <c r="B10" s="343" t="s">
        <v>4</v>
      </c>
      <c r="C10" s="343"/>
      <c r="D10" s="343"/>
      <c r="E10" s="343"/>
      <c r="F10" s="343"/>
      <c r="G10" s="343"/>
      <c r="H10" s="343"/>
      <c r="I10" s="51">
        <f>SUM(I6:I9)</f>
        <v>116903.98828732956</v>
      </c>
      <c r="J10" s="44"/>
      <c r="K10" s="44"/>
      <c r="L10" s="44"/>
      <c r="M10" s="41">
        <f>SUM(M6:M9)</f>
        <v>210588.95308079681</v>
      </c>
    </row>
    <row r="11" spans="1:16" ht="17.25">
      <c r="A11" s="512"/>
      <c r="B11" s="340" t="s">
        <v>662</v>
      </c>
      <c r="C11" s="340"/>
      <c r="D11" s="340"/>
      <c r="E11" s="340"/>
      <c r="F11" s="340"/>
      <c r="G11" s="340"/>
      <c r="H11" s="340"/>
      <c r="I11" s="340"/>
      <c r="J11" s="340"/>
      <c r="K11" s="340"/>
      <c r="L11" s="340"/>
      <c r="M11" s="341"/>
    </row>
    <row r="12" spans="1:16" ht="15" customHeight="1">
      <c r="A12" s="512"/>
      <c r="B12" s="79" t="s">
        <v>17</v>
      </c>
      <c r="C12" s="80" t="s">
        <v>18</v>
      </c>
      <c r="D12" s="509">
        <f>'Mapa de Cotação - FWD, IRI, LVC'!Q6/('Mapa de Cotação - FWD, IRI, LVC'!Q5+'Mapa de Cotação - FWD, IRI, LVC'!Q6)</f>
        <v>0.60433987362820085</v>
      </c>
      <c r="E12" s="156">
        <v>1</v>
      </c>
      <c r="F12" s="50">
        <v>12</v>
      </c>
      <c r="G12" s="271">
        <f>$D$12*E12*F12*176</f>
        <v>1276.3658131027603</v>
      </c>
      <c r="H12" s="36">
        <f>VLOOKUP(C12,'Tabela DNIT-Consult-MO'!$A:$D,4,FALSE)</f>
        <v>16848.3</v>
      </c>
      <c r="I12" s="36">
        <f>F12*H12*$D$12*E12</f>
        <v>122185.19391420018</v>
      </c>
      <c r="J12" s="70">
        <f>VLOOKUP(C12,'Tabela DNIT-Consult-MO'!$A:$F,5,FALSE)</f>
        <v>0.80049999999999999</v>
      </c>
      <c r="K12" s="36">
        <f>H12*J12</f>
        <v>13487.064149999998</v>
      </c>
      <c r="L12" s="36">
        <f>I12*J12</f>
        <v>97809.247728317248</v>
      </c>
      <c r="M12" s="37">
        <f>I12+L12</f>
        <v>219994.44164251743</v>
      </c>
    </row>
    <row r="13" spans="1:16" ht="15" customHeight="1">
      <c r="A13" s="512"/>
      <c r="B13" s="79" t="s">
        <v>19</v>
      </c>
      <c r="C13" s="80" t="s">
        <v>20</v>
      </c>
      <c r="D13" s="509"/>
      <c r="E13" s="156">
        <v>1</v>
      </c>
      <c r="F13" s="50">
        <v>12</v>
      </c>
      <c r="G13" s="271">
        <f>$D$12*E13*F13*176</f>
        <v>1276.3658131027603</v>
      </c>
      <c r="H13" s="36">
        <f>VLOOKUP(C13,'Tabela DNIT-Consult-MO'!$A:$D,4,FALSE)</f>
        <v>3782.95</v>
      </c>
      <c r="I13" s="36">
        <f>F13*H13*$D$12*E13</f>
        <v>27434.250299301624</v>
      </c>
      <c r="J13" s="70">
        <f>VLOOKUP(C13,'Tabela DNIT-Consult-MO'!$A:$F,5,FALSE)</f>
        <v>0.80269999999999997</v>
      </c>
      <c r="K13" s="36">
        <f>H13*J13</f>
        <v>3036.5739649999996</v>
      </c>
      <c r="L13" s="36">
        <f>I13*J13</f>
        <v>22021.472715249412</v>
      </c>
      <c r="M13" s="37">
        <f>I13+L13</f>
        <v>49455.72301455104</v>
      </c>
    </row>
    <row r="14" spans="1:16" ht="15" customHeight="1">
      <c r="A14" s="512"/>
      <c r="B14" s="79" t="s">
        <v>21</v>
      </c>
      <c r="C14" s="80" t="s">
        <v>22</v>
      </c>
      <c r="D14" s="509"/>
      <c r="E14" s="156">
        <v>1</v>
      </c>
      <c r="F14" s="50">
        <v>12</v>
      </c>
      <c r="G14" s="271">
        <f>$D$12*E14*F14*176</f>
        <v>1276.3658131027603</v>
      </c>
      <c r="H14" s="36">
        <f>VLOOKUP(C14,'Tabela DNIT-Consult-MO'!$A:$D,4,FALSE)</f>
        <v>2189.27</v>
      </c>
      <c r="I14" s="36">
        <f>F14*H14*$D$12*E14</f>
        <v>15876.757861656135</v>
      </c>
      <c r="J14" s="70">
        <f>VLOOKUP(C14,'Tabela DNIT-Consult-MO'!$A:$F,5,FALSE)</f>
        <v>0.80310000000000004</v>
      </c>
      <c r="K14" s="36">
        <f>H14*J14</f>
        <v>1758.2027370000001</v>
      </c>
      <c r="L14" s="36">
        <f>I14*J14</f>
        <v>12750.624238696042</v>
      </c>
      <c r="M14" s="37">
        <f>I14+L14</f>
        <v>28627.382100352177</v>
      </c>
    </row>
    <row r="15" spans="1:16" ht="15" customHeight="1">
      <c r="A15" s="512"/>
      <c r="B15" s="79" t="s">
        <v>23</v>
      </c>
      <c r="C15" s="80" t="s">
        <v>24</v>
      </c>
      <c r="D15" s="509"/>
      <c r="E15" s="156">
        <v>1</v>
      </c>
      <c r="F15" s="50">
        <v>12</v>
      </c>
      <c r="G15" s="271">
        <f>$D$12*E15*F15*176</f>
        <v>1276.3658131027603</v>
      </c>
      <c r="H15" s="36">
        <f>VLOOKUP(C15,'Tabela DNIT-Consult-MO'!$A:$D,4,FALSE)</f>
        <v>1801.62</v>
      </c>
      <c r="I15" s="36">
        <f>F15*H15*$D$12*E15</f>
        <v>13065.48963751247</v>
      </c>
      <c r="J15" s="70">
        <f>VLOOKUP(C15,'Tabela DNIT-Consult-MO'!$A:$F,5,FALSE)</f>
        <v>0.80479999999999996</v>
      </c>
      <c r="K15" s="36">
        <f>H15*J15</f>
        <v>1449.9437759999998</v>
      </c>
      <c r="L15" s="36">
        <f>I15*J15</f>
        <v>10515.106060270035</v>
      </c>
      <c r="M15" s="37">
        <f>I15+L15</f>
        <v>23580.595697782504</v>
      </c>
    </row>
    <row r="16" spans="1:16" ht="15.75" customHeight="1">
      <c r="A16" s="512"/>
      <c r="B16" s="343" t="s">
        <v>4</v>
      </c>
      <c r="C16" s="343"/>
      <c r="D16" s="343"/>
      <c r="E16" s="343"/>
      <c r="F16" s="343"/>
      <c r="G16" s="343"/>
      <c r="H16" s="343"/>
      <c r="I16" s="51">
        <f>SUM(I12:I15)</f>
        <v>178561.69171267044</v>
      </c>
      <c r="J16" s="44"/>
      <c r="K16" s="44"/>
      <c r="L16" s="44"/>
      <c r="M16" s="41">
        <f>SUM(M12:M15)</f>
        <v>321658.14245520317</v>
      </c>
    </row>
    <row r="17" spans="1:15" ht="17.25">
      <c r="A17" s="512"/>
      <c r="B17" s="340" t="s">
        <v>661</v>
      </c>
      <c r="C17" s="340"/>
      <c r="D17" s="340"/>
      <c r="E17" s="340"/>
      <c r="F17" s="340"/>
      <c r="G17" s="340"/>
      <c r="H17" s="340"/>
      <c r="I17" s="340"/>
      <c r="J17" s="340"/>
      <c r="K17" s="340"/>
      <c r="L17" s="340"/>
      <c r="M17" s="341"/>
    </row>
    <row r="18" spans="1:15">
      <c r="A18" s="512"/>
      <c r="B18" s="79" t="s">
        <v>17</v>
      </c>
      <c r="C18" s="80" t="s">
        <v>18</v>
      </c>
      <c r="D18" s="509">
        <v>1</v>
      </c>
      <c r="E18" s="156">
        <v>1</v>
      </c>
      <c r="F18" s="50">
        <v>12</v>
      </c>
      <c r="G18" s="271">
        <f>$D$18*E18*F18*176</f>
        <v>2112</v>
      </c>
      <c r="H18" s="36">
        <f>VLOOKUP(C18,'Tabela DNIT-Consult-MO'!$A:$D,4,FALSE)</f>
        <v>16848.3</v>
      </c>
      <c r="I18" s="36">
        <f>F18*H18*$D$18*E18</f>
        <v>202179.59999999998</v>
      </c>
      <c r="J18" s="70">
        <f>VLOOKUP(C18,'Tabela DNIT-Consult-MO'!$A:$F,5,FALSE)</f>
        <v>0.80049999999999999</v>
      </c>
      <c r="K18" s="36">
        <f>H18*J18</f>
        <v>13487.064149999998</v>
      </c>
      <c r="L18" s="36">
        <f>I18*J18</f>
        <v>161844.76979999998</v>
      </c>
      <c r="M18" s="37">
        <f>I18+L18</f>
        <v>364024.36979999999</v>
      </c>
    </row>
    <row r="19" spans="1:15">
      <c r="A19" s="512"/>
      <c r="B19" s="79" t="s">
        <v>19</v>
      </c>
      <c r="C19" s="80" t="s">
        <v>20</v>
      </c>
      <c r="D19" s="509"/>
      <c r="E19" s="156">
        <v>1</v>
      </c>
      <c r="F19" s="50">
        <v>12</v>
      </c>
      <c r="G19" s="271">
        <f>$D$18*E19*F19*176</f>
        <v>2112</v>
      </c>
      <c r="H19" s="36">
        <f>VLOOKUP(C19,'Tabela DNIT-Consult-MO'!$A:$D,4,FALSE)</f>
        <v>3782.95</v>
      </c>
      <c r="I19" s="36">
        <f>F19*H19*$D$18*E19</f>
        <v>45395.399999999994</v>
      </c>
      <c r="J19" s="70">
        <f>VLOOKUP(C19,'Tabela DNIT-Consult-MO'!$A:$F,5,FALSE)</f>
        <v>0.80269999999999997</v>
      </c>
      <c r="K19" s="36">
        <f>H19*J19</f>
        <v>3036.5739649999996</v>
      </c>
      <c r="L19" s="36">
        <f>I19*J19</f>
        <v>36438.887579999995</v>
      </c>
      <c r="M19" s="37">
        <f>I19+L19</f>
        <v>81834.287579999989</v>
      </c>
    </row>
    <row r="20" spans="1:15">
      <c r="A20" s="512"/>
      <c r="B20" s="79" t="s">
        <v>21</v>
      </c>
      <c r="C20" s="80" t="s">
        <v>22</v>
      </c>
      <c r="D20" s="509"/>
      <c r="E20" s="156">
        <v>1</v>
      </c>
      <c r="F20" s="50">
        <v>12</v>
      </c>
      <c r="G20" s="271">
        <f>$D$18*E20*F20*176</f>
        <v>2112</v>
      </c>
      <c r="H20" s="36">
        <f>VLOOKUP(C20,'Tabela DNIT-Consult-MO'!$A:$D,4,FALSE)</f>
        <v>2189.27</v>
      </c>
      <c r="I20" s="36">
        <f>F20*H20*$D$18*E20</f>
        <v>26271.239999999998</v>
      </c>
      <c r="J20" s="70">
        <f>VLOOKUP(C20,'Tabela DNIT-Consult-MO'!$A:$F,5,FALSE)</f>
        <v>0.80310000000000004</v>
      </c>
      <c r="K20" s="36">
        <f>H20*J20</f>
        <v>1758.2027370000001</v>
      </c>
      <c r="L20" s="36">
        <f>I20*J20</f>
        <v>21098.432843999999</v>
      </c>
      <c r="M20" s="37">
        <f>I20+L20</f>
        <v>47369.672844000001</v>
      </c>
    </row>
    <row r="21" spans="1:15">
      <c r="A21" s="512"/>
      <c r="B21" s="79" t="s">
        <v>23</v>
      </c>
      <c r="C21" s="80" t="s">
        <v>24</v>
      </c>
      <c r="D21" s="509"/>
      <c r="E21" s="156">
        <v>1</v>
      </c>
      <c r="F21" s="50">
        <v>12</v>
      </c>
      <c r="G21" s="271">
        <f>$D$18*E21*F21*176</f>
        <v>2112</v>
      </c>
      <c r="H21" s="36">
        <f>VLOOKUP(C21,'Tabela DNIT-Consult-MO'!$A:$D,4,FALSE)</f>
        <v>1801.62</v>
      </c>
      <c r="I21" s="36">
        <f>F21*H21*$D$18*E21</f>
        <v>21619.439999999999</v>
      </c>
      <c r="J21" s="70">
        <f>VLOOKUP(C21,'Tabela DNIT-Consult-MO'!$A:$F,5,FALSE)</f>
        <v>0.80479999999999996</v>
      </c>
      <c r="K21" s="36">
        <f>H21*J21</f>
        <v>1449.9437759999998</v>
      </c>
      <c r="L21" s="36">
        <f>I21*J21</f>
        <v>17399.325311999997</v>
      </c>
      <c r="M21" s="37">
        <f>I21+L21</f>
        <v>39018.765311999996</v>
      </c>
    </row>
    <row r="22" spans="1:15" ht="15.75" thickBot="1">
      <c r="A22" s="513"/>
      <c r="B22" s="346" t="s">
        <v>4</v>
      </c>
      <c r="C22" s="346"/>
      <c r="D22" s="346"/>
      <c r="E22" s="346"/>
      <c r="F22" s="346"/>
      <c r="G22" s="346"/>
      <c r="H22" s="346"/>
      <c r="I22" s="73">
        <f>SUM(I18:I21)</f>
        <v>295465.68</v>
      </c>
      <c r="J22" s="74"/>
      <c r="K22" s="74"/>
      <c r="L22" s="74"/>
      <c r="M22" s="42">
        <f>SUM(M18:M21)</f>
        <v>532247.09553599998</v>
      </c>
    </row>
    <row r="23" spans="1:15" ht="15.75" thickBot="1">
      <c r="A23" s="34"/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  <c r="N23" s="34"/>
      <c r="O23" s="34"/>
    </row>
    <row r="24" spans="1:15">
      <c r="A24" s="392" t="s">
        <v>400</v>
      </c>
      <c r="B24" s="393"/>
      <c r="C24" s="393"/>
      <c r="D24" s="393"/>
      <c r="E24" s="393"/>
      <c r="F24" s="393"/>
      <c r="G24" s="393"/>
      <c r="H24" s="394"/>
    </row>
    <row r="25" spans="1:15" ht="60">
      <c r="A25" s="155" t="s">
        <v>378</v>
      </c>
      <c r="B25" s="45" t="s">
        <v>403</v>
      </c>
      <c r="C25" s="46" t="s">
        <v>404</v>
      </c>
      <c r="D25" s="46" t="s">
        <v>407</v>
      </c>
      <c r="E25" s="46" t="s">
        <v>405</v>
      </c>
      <c r="F25" s="46" t="s">
        <v>408</v>
      </c>
      <c r="G25" s="46" t="s">
        <v>406</v>
      </c>
      <c r="H25" s="64" t="s">
        <v>416</v>
      </c>
    </row>
    <row r="26" spans="1:15">
      <c r="A26" s="512" t="s">
        <v>490</v>
      </c>
      <c r="B26" s="344" t="s">
        <v>429</v>
      </c>
      <c r="C26" s="344"/>
      <c r="D26" s="344"/>
      <c r="E26" s="344"/>
      <c r="F26" s="344"/>
      <c r="G26" s="344"/>
      <c r="H26" s="345"/>
    </row>
    <row r="27" spans="1:15">
      <c r="A27" s="512"/>
      <c r="B27" s="44" t="s">
        <v>247</v>
      </c>
      <c r="C27" s="156" t="s">
        <v>402</v>
      </c>
      <c r="D27" s="141">
        <f>D6</f>
        <v>0.39566012637179915</v>
      </c>
      <c r="E27" s="50">
        <v>12</v>
      </c>
      <c r="F27" s="140">
        <f>D27*E27</f>
        <v>4.7479215164615898</v>
      </c>
      <c r="G27" s="36">
        <f>(('Tabela DNIT-Consult-BDI'!$H$5*66)+('Tabela DNIT-Consult-BDI'!$I$5*116.49))</f>
        <v>3213.6885000000002</v>
      </c>
      <c r="H27" s="63">
        <f>G27*F27</f>
        <v>15258.340776355173</v>
      </c>
    </row>
    <row r="28" spans="1:15">
      <c r="A28" s="512"/>
      <c r="B28" s="44" t="s">
        <v>401</v>
      </c>
      <c r="C28" s="156" t="s">
        <v>33</v>
      </c>
      <c r="D28" s="142">
        <f>(E6+E9+E7+E8)*D6*8</f>
        <v>12.661124043897573</v>
      </c>
      <c r="E28" s="50">
        <v>12</v>
      </c>
      <c r="F28" s="140">
        <f>D28*E28</f>
        <v>151.93348852677087</v>
      </c>
      <c r="G28" s="52">
        <f>Diárias!$E$5</f>
        <v>364.43999999999994</v>
      </c>
      <c r="H28" s="63">
        <f>G28*F28</f>
        <v>55370.640558696366</v>
      </c>
    </row>
    <row r="29" spans="1:15">
      <c r="A29" s="512"/>
      <c r="B29" s="47" t="s">
        <v>481</v>
      </c>
      <c r="C29" s="156" t="s">
        <v>278</v>
      </c>
      <c r="D29" s="142">
        <f>($E$6+$E$7+$E$8+$E$9)*$D$6+('CPU_2.1, 8.1 e 14.1'!$E$6+'CPU_2.1, 8.1 e 14.1'!$E$7)*'CPU_2.1, 8.1 e 14.1'!$D$6</f>
        <v>5.5826405054871966</v>
      </c>
      <c r="E29" s="50">
        <v>12</v>
      </c>
      <c r="F29" s="140">
        <f>D29*E29</f>
        <v>66.991686065846352</v>
      </c>
      <c r="G29" s="52">
        <f>'Tabela DNIT-Consult-BDI'!$I$18</f>
        <v>122.58</v>
      </c>
      <c r="H29" s="63">
        <f>G29*F29</f>
        <v>8211.8408779514466</v>
      </c>
    </row>
    <row r="30" spans="1:15">
      <c r="A30" s="512"/>
      <c r="B30" s="44" t="s">
        <v>482</v>
      </c>
      <c r="C30" s="156" t="str">
        <f>'Tabela DNIT-Consult-BDI'!$G$10</f>
        <v>m² x mês</v>
      </c>
      <c r="D30" s="142">
        <f>(($E$6+$E$7+$E$8+$E$9)*$D$6+('CPU_2.1, 8.1 e 14.1'!$E$6+'CPU_2.1, 8.1 e 14.1'!$E$7)*'CPU_2.1, 8.1 e 14.1'!$D$6)*7</f>
        <v>39.078483538410374</v>
      </c>
      <c r="E30" s="50">
        <v>12</v>
      </c>
      <c r="F30" s="140">
        <f>D30*E30</f>
        <v>468.94180246092446</v>
      </c>
      <c r="G30" s="52">
        <f>'Tabela DNIT-Consult-BDI'!$I$10</f>
        <v>43.25</v>
      </c>
      <c r="H30" s="63">
        <f>G30*F30</f>
        <v>20281.732956434982</v>
      </c>
    </row>
    <row r="31" spans="1:15">
      <c r="A31" s="512"/>
      <c r="B31" s="44" t="s">
        <v>483</v>
      </c>
      <c r="C31" s="156" t="s">
        <v>278</v>
      </c>
      <c r="D31" s="142">
        <f>($E$6+$E$7+$E$8+$E$9)*$D$6+('CPU_2.1, 8.1 e 14.1'!$E$6+'CPU_2.1, 8.1 e 14.1'!$E$7)*'CPU_2.1, 8.1 e 14.1'!$D$6</f>
        <v>5.5826405054871966</v>
      </c>
      <c r="E31" s="50">
        <v>12</v>
      </c>
      <c r="F31" s="140">
        <f>D31*E31</f>
        <v>66.991686065846352</v>
      </c>
      <c r="G31" s="52">
        <f>'Tabela DNIT-Consult-BDI'!$I$12</f>
        <v>506.57</v>
      </c>
      <c r="H31" s="63">
        <f>G31*F31</f>
        <v>33935.978410375785</v>
      </c>
    </row>
    <row r="32" spans="1:15">
      <c r="A32" s="512"/>
      <c r="B32" s="343" t="s">
        <v>4</v>
      </c>
      <c r="C32" s="343"/>
      <c r="D32" s="343"/>
      <c r="E32" s="343"/>
      <c r="F32" s="343"/>
      <c r="G32" s="343"/>
      <c r="H32" s="41">
        <f>SUM(H27:H31)</f>
        <v>133058.53357981372</v>
      </c>
    </row>
    <row r="33" spans="1:19">
      <c r="A33" s="512"/>
      <c r="B33" s="344" t="s">
        <v>432</v>
      </c>
      <c r="C33" s="344"/>
      <c r="D33" s="344"/>
      <c r="E33" s="344"/>
      <c r="F33" s="344"/>
      <c r="G33" s="344"/>
      <c r="H33" s="345"/>
    </row>
    <row r="34" spans="1:19">
      <c r="A34" s="512"/>
      <c r="B34" s="44" t="s">
        <v>247</v>
      </c>
      <c r="C34" s="156" t="s">
        <v>402</v>
      </c>
      <c r="D34" s="141">
        <f>D12</f>
        <v>0.60433987362820085</v>
      </c>
      <c r="E34" s="50">
        <v>12</v>
      </c>
      <c r="F34" s="140">
        <f>D34*E34</f>
        <v>7.2520784835384102</v>
      </c>
      <c r="G34" s="36">
        <f>(('Tabela DNIT-Consult-BDI'!$H$5*66)+('Tabela DNIT-Consult-BDI'!$I$5*116.49))</f>
        <v>3213.6885000000002</v>
      </c>
      <c r="H34" s="63">
        <f>G34*F34</f>
        <v>23305.921223644829</v>
      </c>
      <c r="P34" s="30"/>
      <c r="Q34" s="30"/>
      <c r="R34" s="30"/>
      <c r="S34" s="30"/>
    </row>
    <row r="35" spans="1:19">
      <c r="A35" s="512"/>
      <c r="B35" s="44" t="s">
        <v>401</v>
      </c>
      <c r="C35" s="156" t="s">
        <v>33</v>
      </c>
      <c r="D35" s="142">
        <f>(E12+E15+E13+E14)*D12*8</f>
        <v>19.338875956102427</v>
      </c>
      <c r="E35" s="50">
        <v>12</v>
      </c>
      <c r="F35" s="140">
        <f>D35*E35</f>
        <v>232.06651147322913</v>
      </c>
      <c r="G35" s="52">
        <f>Diárias!$E$5</f>
        <v>364.43999999999994</v>
      </c>
      <c r="H35" s="63">
        <f>G35*F35</f>
        <v>84574.319441303611</v>
      </c>
    </row>
    <row r="36" spans="1:19">
      <c r="A36" s="512"/>
      <c r="B36" s="47" t="s">
        <v>481</v>
      </c>
      <c r="C36" s="156" t="s">
        <v>278</v>
      </c>
      <c r="D36" s="142">
        <f>($E$12+$E$13+$E$14+$E$15)*$D$12+('CPU_2.1, 8.1 e 14.1'!$E$15+'CPU_2.1, 8.1 e 14.1'!$E$14)*'CPU_2.1, 8.1 e 14.1'!$D$14</f>
        <v>8.4173594945128034</v>
      </c>
      <c r="E36" s="50">
        <v>12</v>
      </c>
      <c r="F36" s="140">
        <f>D36*E36</f>
        <v>101.00831393415365</v>
      </c>
      <c r="G36" s="52">
        <f>'Tabela DNIT-Consult-BDI'!$I$18</f>
        <v>122.58</v>
      </c>
      <c r="H36" s="63">
        <f>G36*F36</f>
        <v>12381.599122048554</v>
      </c>
    </row>
    <row r="37" spans="1:19" ht="15.75">
      <c r="A37" s="512"/>
      <c r="B37" s="44" t="s">
        <v>482</v>
      </c>
      <c r="C37" s="156" t="str">
        <f>'Tabela DNIT-Consult-BDI'!$G$10</f>
        <v>m² x mês</v>
      </c>
      <c r="D37" s="142">
        <f>(($E$12+$E$13+$E$14+$E$15)*$D$12+('CPU_2.1, 8.1 e 14.1'!$E$15+'CPU_2.1, 8.1 e 14.1'!$E$14)*'CPU_2.1, 8.1 e 14.1'!$D$14)*7</f>
        <v>58.921516461589626</v>
      </c>
      <c r="E37" s="50">
        <v>12</v>
      </c>
      <c r="F37" s="140">
        <f>D37*E37</f>
        <v>707.05819753907554</v>
      </c>
      <c r="G37" s="52">
        <f>'Tabela DNIT-Consult-BDI'!$I$10</f>
        <v>43.25</v>
      </c>
      <c r="H37" s="63">
        <f>G37*F37</f>
        <v>30580.267043565018</v>
      </c>
      <c r="I37" s="28"/>
      <c r="J37" s="28"/>
      <c r="K37" s="29"/>
      <c r="L37" s="30"/>
      <c r="M37" s="30"/>
      <c r="N37" s="30"/>
      <c r="O37" s="30"/>
      <c r="P37" s="30"/>
      <c r="Q37" s="30"/>
      <c r="R37" s="30"/>
      <c r="S37" s="30"/>
    </row>
    <row r="38" spans="1:19">
      <c r="A38" s="512"/>
      <c r="B38" s="44" t="s">
        <v>483</v>
      </c>
      <c r="C38" s="156" t="s">
        <v>278</v>
      </c>
      <c r="D38" s="142">
        <f>($E$12+$E$13+$E$14+$E$15)*$D$12+('CPU_2.1, 8.1 e 14.1'!$E$15+'CPU_2.1, 8.1 e 14.1'!$E$14)*'CPU_2.1, 8.1 e 14.1'!$D$14</f>
        <v>8.4173594945128034</v>
      </c>
      <c r="E38" s="50">
        <v>12</v>
      </c>
      <c r="F38" s="140">
        <f>D38*E38</f>
        <v>101.00831393415365</v>
      </c>
      <c r="G38" s="52">
        <f>'Tabela DNIT-Consult-BDI'!$I$12</f>
        <v>506.57</v>
      </c>
      <c r="H38" s="63">
        <f>G38*F38</f>
        <v>51167.78158962421</v>
      </c>
    </row>
    <row r="39" spans="1:19">
      <c r="A39" s="512"/>
      <c r="B39" s="343" t="s">
        <v>4</v>
      </c>
      <c r="C39" s="343"/>
      <c r="D39" s="343"/>
      <c r="E39" s="343"/>
      <c r="F39" s="343"/>
      <c r="G39" s="343"/>
      <c r="H39" s="41">
        <f>SUM(H34:H38)</f>
        <v>202009.88842018624</v>
      </c>
    </row>
    <row r="40" spans="1:19" ht="15.75">
      <c r="A40" s="157"/>
      <c r="B40" s="344" t="s">
        <v>646</v>
      </c>
      <c r="C40" s="344"/>
      <c r="D40" s="344"/>
      <c r="E40" s="344"/>
      <c r="F40" s="344"/>
      <c r="G40" s="344"/>
      <c r="H40" s="345"/>
    </row>
    <row r="41" spans="1:19" ht="15.75">
      <c r="A41" s="157"/>
      <c r="B41" s="44" t="s">
        <v>247</v>
      </c>
      <c r="C41" s="156" t="s">
        <v>402</v>
      </c>
      <c r="D41" s="141">
        <f>D18</f>
        <v>1</v>
      </c>
      <c r="E41" s="50">
        <v>12</v>
      </c>
      <c r="F41" s="140">
        <f>D41*E41</f>
        <v>12</v>
      </c>
      <c r="G41" s="36">
        <f>(('Tabela DNIT-Consult-BDI'!$H$5*66)+('Tabela DNIT-Consult-BDI'!$I$5*116.49))</f>
        <v>3213.6885000000002</v>
      </c>
      <c r="H41" s="63">
        <f>G41*F41</f>
        <v>38564.262000000002</v>
      </c>
    </row>
    <row r="42" spans="1:19" ht="15.75">
      <c r="A42" s="157"/>
      <c r="B42" s="44" t="s">
        <v>401</v>
      </c>
      <c r="C42" s="156" t="s">
        <v>33</v>
      </c>
      <c r="D42" s="142">
        <f>(E18+E21+E19+E20)*D18*8</f>
        <v>32</v>
      </c>
      <c r="E42" s="50">
        <v>12</v>
      </c>
      <c r="F42" s="140">
        <f>D42*E42</f>
        <v>384</v>
      </c>
      <c r="G42" s="52">
        <f>Diárias!$E$5</f>
        <v>364.43999999999994</v>
      </c>
      <c r="H42" s="63">
        <f>G42*F42</f>
        <v>139944.95999999996</v>
      </c>
    </row>
    <row r="43" spans="1:19" ht="15.75">
      <c r="A43" s="157"/>
      <c r="B43" s="47" t="s">
        <v>481</v>
      </c>
      <c r="C43" s="156" t="s">
        <v>278</v>
      </c>
      <c r="D43" s="142">
        <f>($E$18+$E$19+$E$20+$E$21)*$D$18+('CPU_2.1, 8.1 e 14.1'!$E$15+'CPU_2.1, 8.1 e 14.1'!$E$14)*'CPU_2.1, 8.1 e 14.1'!$D$14</f>
        <v>10</v>
      </c>
      <c r="E43" s="50">
        <v>12</v>
      </c>
      <c r="F43" s="140">
        <f>D43*E43</f>
        <v>120</v>
      </c>
      <c r="G43" s="52">
        <f>'Tabela DNIT-Consult-BDI'!$I$18</f>
        <v>122.58</v>
      </c>
      <c r="H43" s="63">
        <f>G43*F43</f>
        <v>14709.6</v>
      </c>
    </row>
    <row r="44" spans="1:19" ht="15.75">
      <c r="A44" s="157"/>
      <c r="B44" s="44" t="s">
        <v>482</v>
      </c>
      <c r="C44" s="156" t="str">
        <f>'Tabela DNIT-Consult-BDI'!$G$10</f>
        <v>m² x mês</v>
      </c>
      <c r="D44" s="142">
        <f>(($E$18+$E$19+$E$20+$E$21)*$D$18+('CPU_2.1, 8.1 e 14.1'!$E$15+'CPU_2.1, 8.1 e 14.1'!$E$14)*'CPU_2.1, 8.1 e 14.1'!$D$14)*7</f>
        <v>70</v>
      </c>
      <c r="E44" s="50">
        <v>12</v>
      </c>
      <c r="F44" s="140">
        <f>D44*E44</f>
        <v>840</v>
      </c>
      <c r="G44" s="52">
        <f>'Tabela DNIT-Consult-BDI'!$I$10</f>
        <v>43.25</v>
      </c>
      <c r="H44" s="63">
        <f>G44*F44</f>
        <v>36330</v>
      </c>
    </row>
    <row r="45" spans="1:19" ht="15.75">
      <c r="A45" s="157"/>
      <c r="B45" s="44" t="s">
        <v>483</v>
      </c>
      <c r="C45" s="156" t="s">
        <v>278</v>
      </c>
      <c r="D45" s="142">
        <f>($E$18+$E$19+$E$20+$E$21)*$D$18+('CPU_2.1, 8.1 e 14.1'!$E$15+'CPU_2.1, 8.1 e 14.1'!$E$14)*'CPU_2.1, 8.1 e 14.1'!$D$14</f>
        <v>10</v>
      </c>
      <c r="E45" s="50">
        <v>12</v>
      </c>
      <c r="F45" s="140">
        <f>D45*E45</f>
        <v>120</v>
      </c>
      <c r="G45" s="52">
        <f>'Tabela DNIT-Consult-BDI'!$I$12</f>
        <v>506.57</v>
      </c>
      <c r="H45" s="63">
        <f>G45*F45</f>
        <v>60788.4</v>
      </c>
    </row>
    <row r="46" spans="1:19" ht="16.5" thickBot="1">
      <c r="A46" s="158"/>
      <c r="B46" s="346" t="s">
        <v>4</v>
      </c>
      <c r="C46" s="346"/>
      <c r="D46" s="346"/>
      <c r="E46" s="346"/>
      <c r="F46" s="346"/>
      <c r="G46" s="346"/>
      <c r="H46" s="42">
        <f>SUM(H41:H45)</f>
        <v>290337.22199999995</v>
      </c>
    </row>
    <row r="47" spans="1:19" ht="15.75">
      <c r="A47" s="35"/>
      <c r="B47" s="415" t="s">
        <v>488</v>
      </c>
      <c r="C47" s="415"/>
      <c r="D47" s="415"/>
      <c r="E47" s="415"/>
      <c r="F47" s="415"/>
      <c r="G47" s="415"/>
      <c r="H47" s="415"/>
      <c r="J47" s="29"/>
      <c r="K47" s="30"/>
      <c r="L47" s="30"/>
      <c r="M47" s="30"/>
      <c r="N47" s="30"/>
      <c r="O47" s="30"/>
    </row>
    <row r="48" spans="1:19" ht="15.75" thickBot="1"/>
    <row r="49" spans="2:19" ht="23.25" customHeight="1" thickBot="1">
      <c r="B49" s="396" t="s">
        <v>601</v>
      </c>
      <c r="C49" s="397"/>
      <c r="D49" s="397"/>
      <c r="E49" s="397"/>
      <c r="F49" s="398"/>
      <c r="H49" s="396" t="s">
        <v>600</v>
      </c>
      <c r="I49" s="397"/>
      <c r="J49" s="397"/>
      <c r="K49" s="397"/>
      <c r="L49" s="398"/>
      <c r="N49" s="396" t="s">
        <v>600</v>
      </c>
      <c r="O49" s="397"/>
      <c r="P49" s="397"/>
      <c r="Q49" s="397"/>
      <c r="R49" s="398"/>
    </row>
    <row r="50" spans="2:19">
      <c r="B50" s="355" t="s">
        <v>1</v>
      </c>
      <c r="C50" s="356"/>
      <c r="D50" s="356"/>
      <c r="E50" s="356" t="s">
        <v>2</v>
      </c>
      <c r="F50" s="395"/>
      <c r="H50" s="355" t="s">
        <v>1</v>
      </c>
      <c r="I50" s="356"/>
      <c r="J50" s="356"/>
      <c r="K50" s="356" t="s">
        <v>2</v>
      </c>
      <c r="L50" s="395"/>
      <c r="N50" s="355" t="s">
        <v>1</v>
      </c>
      <c r="O50" s="356"/>
      <c r="P50" s="356"/>
      <c r="Q50" s="356" t="s">
        <v>2</v>
      </c>
      <c r="R50" s="395"/>
      <c r="S50" s="30"/>
    </row>
    <row r="51" spans="2:19" ht="15.75" thickBot="1">
      <c r="B51" s="357"/>
      <c r="C51" s="358"/>
      <c r="D51" s="358"/>
      <c r="E51" s="53" t="s">
        <v>3</v>
      </c>
      <c r="F51" s="54" t="s">
        <v>4</v>
      </c>
      <c r="H51" s="357"/>
      <c r="I51" s="358"/>
      <c r="J51" s="358"/>
      <c r="K51" s="53" t="s">
        <v>3</v>
      </c>
      <c r="L51" s="54" t="s">
        <v>4</v>
      </c>
      <c r="N51" s="357"/>
      <c r="O51" s="358"/>
      <c r="P51" s="358"/>
      <c r="Q51" s="153" t="s">
        <v>3</v>
      </c>
      <c r="R51" s="54" t="s">
        <v>4</v>
      </c>
    </row>
    <row r="52" spans="2:19">
      <c r="B52" s="359" t="s">
        <v>398</v>
      </c>
      <c r="C52" s="360"/>
      <c r="D52" s="360"/>
      <c r="E52" s="508"/>
      <c r="F52" s="361">
        <f>SUM(E53:E54)</f>
        <v>210588.95308079678</v>
      </c>
      <c r="H52" s="359" t="s">
        <v>398</v>
      </c>
      <c r="I52" s="360"/>
      <c r="J52" s="360"/>
      <c r="K52" s="508"/>
      <c r="L52" s="361">
        <f>SUM(K53:K54)</f>
        <v>321658.14245520311</v>
      </c>
      <c r="N52" s="359" t="s">
        <v>398</v>
      </c>
      <c r="O52" s="360"/>
      <c r="P52" s="360"/>
      <c r="Q52" s="508"/>
      <c r="R52" s="361">
        <f>SUM(Q53:Q54)</f>
        <v>532247.09553599998</v>
      </c>
    </row>
    <row r="53" spans="2:19">
      <c r="B53" s="363" t="s">
        <v>5</v>
      </c>
      <c r="C53" s="378" t="s">
        <v>6</v>
      </c>
      <c r="D53" s="378"/>
      <c r="E53" s="24">
        <f>M6</f>
        <v>144029.92815748253</v>
      </c>
      <c r="F53" s="362"/>
      <c r="H53" s="363" t="s">
        <v>5</v>
      </c>
      <c r="I53" s="378" t="s">
        <v>6</v>
      </c>
      <c r="J53" s="378"/>
      <c r="K53" s="24">
        <f>M12</f>
        <v>219994.44164251743</v>
      </c>
      <c r="L53" s="362"/>
      <c r="M53" s="30"/>
      <c r="N53" s="363" t="s">
        <v>5</v>
      </c>
      <c r="O53" s="378" t="s">
        <v>6</v>
      </c>
      <c r="P53" s="378"/>
      <c r="Q53" s="24">
        <f>M18</f>
        <v>364024.36979999999</v>
      </c>
      <c r="R53" s="362"/>
    </row>
    <row r="54" spans="2:19" ht="15.75" thickBot="1">
      <c r="B54" s="364"/>
      <c r="C54" s="378" t="s">
        <v>7</v>
      </c>
      <c r="D54" s="378"/>
      <c r="E54" s="24">
        <f>M9+M7+M8</f>
        <v>66559.024923314253</v>
      </c>
      <c r="F54" s="362"/>
      <c r="H54" s="364"/>
      <c r="I54" s="378" t="s">
        <v>7</v>
      </c>
      <c r="J54" s="378"/>
      <c r="K54" s="24">
        <f>M15+M13+M14</f>
        <v>101663.70081268571</v>
      </c>
      <c r="L54" s="362"/>
      <c r="N54" s="364"/>
      <c r="O54" s="378" t="s">
        <v>7</v>
      </c>
      <c r="P54" s="378"/>
      <c r="Q54" s="24">
        <f>M19+M20+M21</f>
        <v>168222.72573599999</v>
      </c>
      <c r="R54" s="362"/>
      <c r="S54" s="30"/>
    </row>
    <row r="55" spans="2:19">
      <c r="B55" s="352" t="s">
        <v>414</v>
      </c>
      <c r="C55" s="353"/>
      <c r="D55" s="353"/>
      <c r="E55" s="353"/>
      <c r="F55" s="371">
        <f>SUM(E56)</f>
        <v>25776.087857089529</v>
      </c>
      <c r="H55" s="352" t="s">
        <v>414</v>
      </c>
      <c r="I55" s="353"/>
      <c r="J55" s="353"/>
      <c r="K55" s="353"/>
      <c r="L55" s="371">
        <f>SUM(K56)</f>
        <v>39370.956636516865</v>
      </c>
      <c r="N55" s="352" t="s">
        <v>414</v>
      </c>
      <c r="O55" s="353"/>
      <c r="P55" s="353"/>
      <c r="Q55" s="353"/>
      <c r="R55" s="371">
        <f>SUM(Q56)</f>
        <v>65147.044493606401</v>
      </c>
    </row>
    <row r="56" spans="2:19" ht="15.75" thickBot="1">
      <c r="B56" s="55" t="s">
        <v>8</v>
      </c>
      <c r="C56" s="78">
        <f>'Tabela DNIT-Consult-BDI'!$I$27/100</f>
        <v>0.12240000000000001</v>
      </c>
      <c r="D56" s="58" t="s">
        <v>9</v>
      </c>
      <c r="E56" s="25">
        <f>F52*C56</f>
        <v>25776.087857089529</v>
      </c>
      <c r="F56" s="368"/>
      <c r="H56" s="55" t="s">
        <v>8</v>
      </c>
      <c r="I56" s="78">
        <f>'Tabela DNIT-Consult-BDI'!$I$27/100</f>
        <v>0.12240000000000001</v>
      </c>
      <c r="J56" s="58" t="s">
        <v>9</v>
      </c>
      <c r="K56" s="24">
        <f>L52*I56</f>
        <v>39370.956636516865</v>
      </c>
      <c r="L56" s="368"/>
      <c r="M56" s="30"/>
      <c r="N56" s="55" t="s">
        <v>8</v>
      </c>
      <c r="O56" s="78">
        <f>'Tabela DNIT-Consult-BDI'!$I$27/100</f>
        <v>0.12240000000000001</v>
      </c>
      <c r="P56" s="58" t="s">
        <v>9</v>
      </c>
      <c r="Q56" s="24">
        <f>R52*O56</f>
        <v>65147.044493606401</v>
      </c>
      <c r="R56" s="368"/>
    </row>
    <row r="57" spans="2:19">
      <c r="B57" s="352" t="s">
        <v>415</v>
      </c>
      <c r="C57" s="353"/>
      <c r="D57" s="353"/>
      <c r="E57" s="353"/>
      <c r="F57" s="371">
        <f>SUM(E58:E62)</f>
        <v>133058.53357981372</v>
      </c>
      <c r="H57" s="352" t="s">
        <v>415</v>
      </c>
      <c r="I57" s="353"/>
      <c r="J57" s="353"/>
      <c r="K57" s="353"/>
      <c r="L57" s="372">
        <f>SUM(K58:K62)</f>
        <v>202009.88842018624</v>
      </c>
      <c r="N57" s="352" t="s">
        <v>415</v>
      </c>
      <c r="O57" s="353"/>
      <c r="P57" s="353"/>
      <c r="Q57" s="353"/>
      <c r="R57" s="372">
        <f>SUM(Q58:Q62)</f>
        <v>290337.22199999995</v>
      </c>
    </row>
    <row r="58" spans="2:19">
      <c r="B58" s="373" t="s">
        <v>640</v>
      </c>
      <c r="C58" s="374"/>
      <c r="D58" s="374"/>
      <c r="E58" s="24">
        <f>H27</f>
        <v>15258.340776355173</v>
      </c>
      <c r="F58" s="372"/>
      <c r="H58" s="373" t="s">
        <v>640</v>
      </c>
      <c r="I58" s="374"/>
      <c r="J58" s="374"/>
      <c r="K58" s="24">
        <f>H34</f>
        <v>23305.921223644829</v>
      </c>
      <c r="L58" s="372"/>
      <c r="N58" s="373" t="s">
        <v>640</v>
      </c>
      <c r="O58" s="374"/>
      <c r="P58" s="374"/>
      <c r="Q58" s="24">
        <f>H41</f>
        <v>38564.262000000002</v>
      </c>
      <c r="R58" s="372"/>
    </row>
    <row r="59" spans="2:19">
      <c r="B59" s="164" t="s">
        <v>487</v>
      </c>
      <c r="C59" s="165"/>
      <c r="D59" s="166"/>
      <c r="E59" s="167">
        <f t="shared" ref="E59:E62" si="0">H28</f>
        <v>55370.640558696366</v>
      </c>
      <c r="F59" s="372"/>
      <c r="H59" s="164" t="s">
        <v>487</v>
      </c>
      <c r="I59" s="165"/>
      <c r="J59" s="166"/>
      <c r="K59" s="24">
        <f>H35</f>
        <v>84574.319441303611</v>
      </c>
      <c r="L59" s="372"/>
      <c r="N59" s="164" t="s">
        <v>487</v>
      </c>
      <c r="O59" s="165"/>
      <c r="P59" s="166"/>
      <c r="Q59" s="24">
        <f t="shared" ref="Q59:Q62" si="1">H42</f>
        <v>139944.95999999996</v>
      </c>
      <c r="R59" s="372"/>
    </row>
    <row r="60" spans="2:19">
      <c r="B60" s="164" t="s">
        <v>666</v>
      </c>
      <c r="C60" s="165"/>
      <c r="D60" s="166"/>
      <c r="E60" s="167">
        <f t="shared" si="0"/>
        <v>8211.8408779514466</v>
      </c>
      <c r="F60" s="372"/>
      <c r="H60" s="164" t="s">
        <v>666</v>
      </c>
      <c r="I60" s="165"/>
      <c r="J60" s="166"/>
      <c r="K60" s="24">
        <f>H36</f>
        <v>12381.599122048554</v>
      </c>
      <c r="L60" s="372"/>
      <c r="N60" s="164" t="s">
        <v>666</v>
      </c>
      <c r="O60" s="165"/>
      <c r="P60" s="166"/>
      <c r="Q60" s="24">
        <f t="shared" si="1"/>
        <v>14709.6</v>
      </c>
      <c r="R60" s="372"/>
    </row>
    <row r="61" spans="2:19">
      <c r="B61" s="164" t="s">
        <v>667</v>
      </c>
      <c r="C61" s="165"/>
      <c r="D61" s="166"/>
      <c r="E61" s="167">
        <f t="shared" si="0"/>
        <v>20281.732956434982</v>
      </c>
      <c r="F61" s="372"/>
      <c r="H61" s="164" t="s">
        <v>667</v>
      </c>
      <c r="I61" s="165"/>
      <c r="J61" s="166"/>
      <c r="K61" s="24">
        <f>H37</f>
        <v>30580.267043565018</v>
      </c>
      <c r="L61" s="372"/>
      <c r="N61" s="164" t="s">
        <v>667</v>
      </c>
      <c r="O61" s="165"/>
      <c r="P61" s="166"/>
      <c r="Q61" s="24">
        <f t="shared" si="1"/>
        <v>36330</v>
      </c>
      <c r="R61" s="372"/>
    </row>
    <row r="62" spans="2:19" ht="15.75" thickBot="1">
      <c r="B62" s="403" t="s">
        <v>668</v>
      </c>
      <c r="C62" s="404"/>
      <c r="D62" s="405"/>
      <c r="E62" s="25">
        <f t="shared" si="0"/>
        <v>33935.978410375785</v>
      </c>
      <c r="F62" s="368"/>
      <c r="H62" s="403" t="s">
        <v>668</v>
      </c>
      <c r="I62" s="404"/>
      <c r="J62" s="405"/>
      <c r="K62" s="24">
        <f>H38</f>
        <v>51167.78158962421</v>
      </c>
      <c r="L62" s="372"/>
      <c r="N62" s="403" t="s">
        <v>668</v>
      </c>
      <c r="O62" s="404"/>
      <c r="P62" s="405"/>
      <c r="Q62" s="24">
        <f t="shared" si="1"/>
        <v>60788.4</v>
      </c>
      <c r="R62" s="372"/>
    </row>
    <row r="63" spans="2:19">
      <c r="B63" s="347" t="s">
        <v>10</v>
      </c>
      <c r="C63" s="348"/>
      <c r="D63" s="349"/>
      <c r="E63" s="57" t="s">
        <v>417</v>
      </c>
      <c r="F63" s="81">
        <f>F57+F55+F52</f>
        <v>369423.57451770001</v>
      </c>
      <c r="H63" s="347" t="s">
        <v>10</v>
      </c>
      <c r="I63" s="348"/>
      <c r="J63" s="349"/>
      <c r="K63" s="57" t="s">
        <v>417</v>
      </c>
      <c r="L63" s="81">
        <f>L57+L55+L52</f>
        <v>563038.98751190619</v>
      </c>
      <c r="N63" s="347" t="s">
        <v>10</v>
      </c>
      <c r="O63" s="348"/>
      <c r="P63" s="349"/>
      <c r="Q63" s="152" t="s">
        <v>417</v>
      </c>
      <c r="R63" s="154">
        <f>R57+R55+R52</f>
        <v>887731.36202960636</v>
      </c>
    </row>
    <row r="64" spans="2:19">
      <c r="B64" s="350" t="s">
        <v>11</v>
      </c>
      <c r="C64" s="351"/>
      <c r="D64" s="351"/>
      <c r="E64" s="400"/>
      <c r="F64" s="362">
        <f>D65*F63</f>
        <v>44330.828942123997</v>
      </c>
      <c r="H64" s="350" t="s">
        <v>11</v>
      </c>
      <c r="I64" s="351"/>
      <c r="J64" s="351"/>
      <c r="K64" s="400"/>
      <c r="L64" s="362">
        <f>J65*L63</f>
        <v>67564.678501428745</v>
      </c>
      <c r="N64" s="350" t="s">
        <v>11</v>
      </c>
      <c r="O64" s="351"/>
      <c r="P64" s="351"/>
      <c r="Q64" s="400"/>
      <c r="R64" s="362">
        <f>P65*R63</f>
        <v>106527.76344355276</v>
      </c>
    </row>
    <row r="65" spans="2:19">
      <c r="B65" s="365" t="s">
        <v>8</v>
      </c>
      <c r="C65" s="366"/>
      <c r="D65" s="77">
        <f>'Tabela DNIT-Consult-BDI'!$I$30/100</f>
        <v>0.12</v>
      </c>
      <c r="E65" s="49" t="s">
        <v>12</v>
      </c>
      <c r="F65" s="362"/>
      <c r="H65" s="365" t="s">
        <v>8</v>
      </c>
      <c r="I65" s="366"/>
      <c r="J65" s="77">
        <f>'Tabela DNIT-Consult-BDI'!$I$30/100</f>
        <v>0.12</v>
      </c>
      <c r="K65" s="49" t="s">
        <v>12</v>
      </c>
      <c r="L65" s="362"/>
      <c r="N65" s="365" t="s">
        <v>8</v>
      </c>
      <c r="O65" s="366"/>
      <c r="P65" s="77">
        <f>'Tabela DNIT-Consult-BDI'!$I$30/100</f>
        <v>0.12</v>
      </c>
      <c r="Q65" s="49" t="s">
        <v>12</v>
      </c>
      <c r="R65" s="362"/>
    </row>
    <row r="66" spans="2:19">
      <c r="B66" s="350" t="s">
        <v>13</v>
      </c>
      <c r="C66" s="351"/>
      <c r="D66" s="351"/>
      <c r="E66" s="400"/>
      <c r="F66" s="367">
        <f>D67*(F63+F64)</f>
        <v>85398.90887410767</v>
      </c>
      <c r="H66" s="350" t="s">
        <v>13</v>
      </c>
      <c r="I66" s="351"/>
      <c r="J66" s="351"/>
      <c r="K66" s="400"/>
      <c r="L66" s="367">
        <f>J67*(L63+L64)</f>
        <v>130156.59666515232</v>
      </c>
      <c r="N66" s="350" t="s">
        <v>13</v>
      </c>
      <c r="O66" s="351"/>
      <c r="P66" s="351"/>
      <c r="Q66" s="400"/>
      <c r="R66" s="367">
        <f>P67*(R63+R64)</f>
        <v>205215.08349766003</v>
      </c>
    </row>
    <row r="67" spans="2:19" ht="15.75" thickBot="1">
      <c r="B67" s="369" t="s">
        <v>8</v>
      </c>
      <c r="C67" s="370"/>
      <c r="D67" s="78">
        <f>'Tabela DNIT-Consult-BDI'!$I$35/100</f>
        <v>0.2064</v>
      </c>
      <c r="E67" s="58" t="s">
        <v>14</v>
      </c>
      <c r="F67" s="368"/>
      <c r="H67" s="369" t="s">
        <v>8</v>
      </c>
      <c r="I67" s="370"/>
      <c r="J67" s="78">
        <f>'Tabela DNIT-Consult-BDI'!$I$35/100</f>
        <v>0.2064</v>
      </c>
      <c r="K67" s="58" t="s">
        <v>14</v>
      </c>
      <c r="L67" s="368"/>
      <c r="N67" s="369" t="s">
        <v>8</v>
      </c>
      <c r="O67" s="370"/>
      <c r="P67" s="78">
        <f>'Tabela DNIT-Consult-BDI'!$I$35/100</f>
        <v>0.2064</v>
      </c>
      <c r="Q67" s="58" t="s">
        <v>14</v>
      </c>
      <c r="R67" s="368"/>
    </row>
    <row r="68" spans="2:19" ht="15.75" thickBot="1">
      <c r="B68" s="337" t="s">
        <v>419</v>
      </c>
      <c r="C68" s="338"/>
      <c r="D68" s="339"/>
      <c r="E68" s="59" t="s">
        <v>15</v>
      </c>
      <c r="F68" s="82">
        <f>SUM(F63:F67)</f>
        <v>499153.31233393168</v>
      </c>
      <c r="H68" s="337" t="s">
        <v>419</v>
      </c>
      <c r="I68" s="338"/>
      <c r="J68" s="339"/>
      <c r="K68" s="59" t="s">
        <v>15</v>
      </c>
      <c r="L68" s="82">
        <f>SUM(L63:L67)</f>
        <v>760760.26267848723</v>
      </c>
      <c r="N68" s="337" t="s">
        <v>419</v>
      </c>
      <c r="O68" s="338"/>
      <c r="P68" s="339"/>
      <c r="Q68" s="59" t="s">
        <v>15</v>
      </c>
      <c r="R68" s="82">
        <f>SUM(R63:R67)</f>
        <v>1199474.2089708191</v>
      </c>
    </row>
    <row r="69" spans="2:19" ht="15.75" thickBot="1">
      <c r="B69" s="60" t="s">
        <v>418</v>
      </c>
      <c r="C69" s="61"/>
      <c r="D69" s="61"/>
      <c r="E69" s="91" t="s">
        <v>428</v>
      </c>
      <c r="F69" s="76">
        <f>F68/12</f>
        <v>41596.109361160976</v>
      </c>
      <c r="H69" s="60" t="s">
        <v>418</v>
      </c>
      <c r="I69" s="61"/>
      <c r="J69" s="61"/>
      <c r="K69" s="91" t="s">
        <v>428</v>
      </c>
      <c r="L69" s="76">
        <f>L68/12</f>
        <v>63396.688556540605</v>
      </c>
      <c r="N69" s="60" t="s">
        <v>418</v>
      </c>
      <c r="O69" s="61"/>
      <c r="P69" s="61"/>
      <c r="Q69" s="91" t="s">
        <v>428</v>
      </c>
      <c r="R69" s="76">
        <f>R68/12</f>
        <v>99956.184080901599</v>
      </c>
    </row>
    <row r="71" spans="2:19" ht="23.25" customHeight="1"/>
    <row r="73" spans="2:19">
      <c r="B73" s="27" t="str">
        <f>'CPU_2.1, 8.1 e 14.1'!A2</f>
        <v>2.1, 8.1 e 14.1 Relatório de Apoio no Acompanhamento da Conservação, Manutenção, Operação e Obras</v>
      </c>
      <c r="E73" s="135">
        <f>'CPU_2.1, 8.1 e 14.1'!F39</f>
        <v>598247.31348000001</v>
      </c>
      <c r="F73" s="135">
        <f t="shared" ref="F73:F78" si="2">$F$68*G73</f>
        <v>444809.52550774004</v>
      </c>
      <c r="G73" s="136">
        <f t="shared" ref="G73:G78" si="3">E73/$E$79</f>
        <v>0.8911280652990321</v>
      </c>
      <c r="K73" s="135">
        <f>'CPU_2.1, 8.1 e 14.1'!L39</f>
        <v>1196494.62696</v>
      </c>
      <c r="L73" s="135">
        <f t="shared" ref="L73:L78" si="4">$L$68*M73</f>
        <v>698975.56203419168</v>
      </c>
      <c r="M73" s="136">
        <f t="shared" ref="M73:M78" si="5">K73/$K$79</f>
        <v>0.91878558374386721</v>
      </c>
      <c r="Q73" s="135">
        <f>'CPU_2.1, 8.1 e 14.1'!F61</f>
        <v>897370.9702199999</v>
      </c>
      <c r="R73" s="135">
        <f t="shared" ref="R73:R78" si="6">$R$68*S73</f>
        <v>1078370.9210774172</v>
      </c>
      <c r="S73" s="136">
        <f t="shared" ref="S73:S78" si="7">Q73/$Q$79</f>
        <v>0.89903635527327275</v>
      </c>
    </row>
    <row r="74" spans="2:19">
      <c r="B74" s="27" t="str">
        <f>'CPU_3.1, 9.1 e 15.1'!A2</f>
        <v>3.1, 9.1 e 15.1 Relatório de Apoio na Análise da Monitoração do Pavimento</v>
      </c>
      <c r="E74" s="135">
        <f>'CPU_3.1, 9.1 e 15.1'!F49</f>
        <v>23235.823972500002</v>
      </c>
      <c r="F74" s="135">
        <f t="shared" si="2"/>
        <v>17276.326367213387</v>
      </c>
      <c r="G74" s="136">
        <f t="shared" si="3"/>
        <v>3.4611262592715381E-2</v>
      </c>
      <c r="K74" s="135">
        <f>'CPU_3.1, 9.1 e 15.1'!L49</f>
        <v>30981.098630000004</v>
      </c>
      <c r="L74" s="135">
        <f t="shared" si="4"/>
        <v>18098.72801715885</v>
      </c>
      <c r="M74" s="136">
        <f t="shared" si="5"/>
        <v>2.3790317272141408E-2</v>
      </c>
      <c r="Q74" s="135">
        <f>'CPU_3.1, 9.1 e 15.1'!F74</f>
        <v>30981.098630000004</v>
      </c>
      <c r="R74" s="135">
        <f t="shared" si="6"/>
        <v>37229.994031824783</v>
      </c>
      <c r="S74" s="136">
        <f t="shared" si="7"/>
        <v>3.103859487213911E-2</v>
      </c>
    </row>
    <row r="75" spans="2:19">
      <c r="B75" s="27" t="str">
        <f>'CPU_4.1,10.1 e 16.1'!A2</f>
        <v>4.1, 10.1 e 16.1 Relatório de Apoio na Análise da Monitoração da Sinalização Horizontal</v>
      </c>
      <c r="E75" s="135">
        <f>'CPU_4.1,10.1 e 16.1'!F40</f>
        <v>12463.4856975</v>
      </c>
      <c r="F75" s="135">
        <f t="shared" si="2"/>
        <v>9266.8651147445835</v>
      </c>
      <c r="G75" s="136">
        <f t="shared" si="3"/>
        <v>1.8565168027063168E-2</v>
      </c>
      <c r="K75" s="135">
        <f>'CPU_4.1,10.1 e 16.1'!L40</f>
        <v>18695.22854625</v>
      </c>
      <c r="L75" s="135">
        <f t="shared" si="4"/>
        <v>10921.493156784245</v>
      </c>
      <c r="M75" s="136">
        <f t="shared" si="5"/>
        <v>1.4356024745997925E-2</v>
      </c>
      <c r="Q75" s="135">
        <f>'CPU_4.1,10.1 e 16.1'!F62</f>
        <v>17448.8799765</v>
      </c>
      <c r="R75" s="135">
        <f t="shared" si="6"/>
        <v>20968.323465394224</v>
      </c>
      <c r="S75" s="136">
        <f t="shared" si="7"/>
        <v>1.7481262463646972E-2</v>
      </c>
    </row>
    <row r="76" spans="2:19">
      <c r="B76" s="27" t="str">
        <f>'CPU_5.1, 11.1 e 17.1'!A2</f>
        <v>5.1, 11.1 e 17.1 Relatório de Apoio na Análise da Monitoração da Sinalização Vertical</v>
      </c>
      <c r="E76" s="135">
        <f>'CPU_5.1, 11.1 e 17.1'!F40</f>
        <v>12463.4856975</v>
      </c>
      <c r="F76" s="135">
        <f t="shared" si="2"/>
        <v>9266.8651147445835</v>
      </c>
      <c r="G76" s="136">
        <f t="shared" si="3"/>
        <v>1.8565168027063168E-2</v>
      </c>
      <c r="K76" s="135">
        <f>'CPU_5.1, 11.1 e 17.1'!L40</f>
        <v>18695.22854625</v>
      </c>
      <c r="L76" s="135">
        <f t="shared" si="4"/>
        <v>10921.493156784245</v>
      </c>
      <c r="M76" s="136">
        <f t="shared" si="5"/>
        <v>1.4356024745997925E-2</v>
      </c>
      <c r="Q76" s="135">
        <f>'CPU_5.1, 11.1 e 17.1'!F62</f>
        <v>17448.8799765</v>
      </c>
      <c r="R76" s="135">
        <f t="shared" si="6"/>
        <v>20968.323465394224</v>
      </c>
      <c r="S76" s="136">
        <f t="shared" si="7"/>
        <v>1.7481262463646972E-2</v>
      </c>
    </row>
    <row r="77" spans="2:19">
      <c r="B77" s="27" t="str">
        <f>'CPU_6.1, 12.1 e 18.1'!A2</f>
        <v>6.1, 12.1 e 18.1 Relatório de Apoio na Análise da Monitoração das Obras de Arte Especial</v>
      </c>
      <c r="E77" s="135">
        <f>'CPU_6.1, 12.1 e 18.1'!F37</f>
        <v>12463.4856975</v>
      </c>
      <c r="F77" s="135">
        <f t="shared" si="2"/>
        <v>9266.8651147445835</v>
      </c>
      <c r="G77" s="136">
        <f t="shared" si="3"/>
        <v>1.8565168027063168E-2</v>
      </c>
      <c r="K77" s="135">
        <f>'CPU_6.1, 12.1 e 18.1'!L37</f>
        <v>18695.22854625</v>
      </c>
      <c r="L77" s="135">
        <f t="shared" si="4"/>
        <v>10921.493156784245</v>
      </c>
      <c r="M77" s="136">
        <f t="shared" si="5"/>
        <v>1.4356024745997925E-2</v>
      </c>
      <c r="Q77" s="135">
        <f>'CPU_6.1, 12.1 e 18.1'!F58</f>
        <v>17448.8799765</v>
      </c>
      <c r="R77" s="135">
        <f t="shared" si="6"/>
        <v>20968.323465394224</v>
      </c>
      <c r="S77" s="136">
        <f t="shared" si="7"/>
        <v>1.7481262463646972E-2</v>
      </c>
    </row>
    <row r="78" spans="2:19">
      <c r="B78" s="27" t="str">
        <f>'CPU_7.1, 13.1 e 19.1'!A2</f>
        <v>7.1, 13.1 e 19.1 Relatório de Apoio na Análise da Monitoração dos Terraplenos e Estruturas de Contenção</v>
      </c>
      <c r="E78" s="135">
        <f>'CPU_7.1, 13.1 e 19.1'!F38</f>
        <v>12463.4856975</v>
      </c>
      <c r="F78" s="135">
        <f t="shared" si="2"/>
        <v>9266.8651147445835</v>
      </c>
      <c r="G78" s="136">
        <f t="shared" si="3"/>
        <v>1.8565168027063168E-2</v>
      </c>
      <c r="K78" s="135">
        <f>'CPU_7.1, 13.1 e 19.1'!L38</f>
        <v>18695.22854625</v>
      </c>
      <c r="L78" s="135">
        <f t="shared" si="4"/>
        <v>10921.493156784245</v>
      </c>
      <c r="M78" s="136">
        <f t="shared" si="5"/>
        <v>1.4356024745997925E-2</v>
      </c>
      <c r="Q78" s="135">
        <f>'CPU_7.1, 13.1 e 19.1'!F59</f>
        <v>17448.8799765</v>
      </c>
      <c r="R78" s="135">
        <f t="shared" si="6"/>
        <v>20968.323465394224</v>
      </c>
      <c r="S78" s="136">
        <f t="shared" si="7"/>
        <v>1.7481262463646972E-2</v>
      </c>
    </row>
    <row r="79" spans="2:19">
      <c r="E79" s="135">
        <f>SUM(E73:E78)</f>
        <v>671337.08024249994</v>
      </c>
      <c r="F79" s="135">
        <f>SUM(F73:F78)</f>
        <v>499153.31233393174</v>
      </c>
      <c r="H79" s="135">
        <f>F79+L79</f>
        <v>1259913.5750124191</v>
      </c>
      <c r="K79" s="135">
        <f>SUM(K73:K78)</f>
        <v>1302256.6397749996</v>
      </c>
      <c r="L79" s="135">
        <f>SUM(L73:L78)</f>
        <v>760760.26267848734</v>
      </c>
      <c r="Q79" s="135">
        <f>SUM(Q73:Q78)</f>
        <v>998147.58875600016</v>
      </c>
      <c r="R79" s="135"/>
      <c r="S79" s="136"/>
    </row>
    <row r="91" spans="6:7">
      <c r="F91" s="43"/>
      <c r="G91" s="43"/>
    </row>
  </sheetData>
  <mergeCells count="88">
    <mergeCell ref="A1:M1"/>
    <mergeCell ref="A2:M2"/>
    <mergeCell ref="B32:G32"/>
    <mergeCell ref="B39:G39"/>
    <mergeCell ref="A3:M3"/>
    <mergeCell ref="A26:A39"/>
    <mergeCell ref="A24:H24"/>
    <mergeCell ref="B5:M5"/>
    <mergeCell ref="D6:D9"/>
    <mergeCell ref="B10:H10"/>
    <mergeCell ref="B11:M11"/>
    <mergeCell ref="B17:M17"/>
    <mergeCell ref="D18:D21"/>
    <mergeCell ref="B22:H22"/>
    <mergeCell ref="A5:A22"/>
    <mergeCell ref="B52:E52"/>
    <mergeCell ref="F52:F54"/>
    <mergeCell ref="B53:B54"/>
    <mergeCell ref="C53:D53"/>
    <mergeCell ref="C54:D54"/>
    <mergeCell ref="F66:F67"/>
    <mergeCell ref="B67:C67"/>
    <mergeCell ref="B68:D68"/>
    <mergeCell ref="B66:E66"/>
    <mergeCell ref="H52:K52"/>
    <mergeCell ref="B63:D63"/>
    <mergeCell ref="B64:E64"/>
    <mergeCell ref="B55:E55"/>
    <mergeCell ref="F55:F56"/>
    <mergeCell ref="B57:E57"/>
    <mergeCell ref="F57:F62"/>
    <mergeCell ref="B58:D58"/>
    <mergeCell ref="B62:D62"/>
    <mergeCell ref="F64:F65"/>
    <mergeCell ref="B65:C65"/>
    <mergeCell ref="H68:J68"/>
    <mergeCell ref="H66:K66"/>
    <mergeCell ref="H64:K64"/>
    <mergeCell ref="H55:K55"/>
    <mergeCell ref="L55:L56"/>
    <mergeCell ref="H57:K57"/>
    <mergeCell ref="L57:L62"/>
    <mergeCell ref="H58:J58"/>
    <mergeCell ref="H62:J62"/>
    <mergeCell ref="H63:J63"/>
    <mergeCell ref="L64:L65"/>
    <mergeCell ref="H65:I65"/>
    <mergeCell ref="L66:L67"/>
    <mergeCell ref="H67:I67"/>
    <mergeCell ref="B40:H40"/>
    <mergeCell ref="B46:G46"/>
    <mergeCell ref="B50:D51"/>
    <mergeCell ref="E50:F50"/>
    <mergeCell ref="D12:D15"/>
    <mergeCell ref="B16:H16"/>
    <mergeCell ref="B26:H26"/>
    <mergeCell ref="B33:H33"/>
    <mergeCell ref="B49:F49"/>
    <mergeCell ref="B47:H47"/>
    <mergeCell ref="L52:L54"/>
    <mergeCell ref="H53:H54"/>
    <mergeCell ref="I53:J53"/>
    <mergeCell ref="I54:J54"/>
    <mergeCell ref="N49:R49"/>
    <mergeCell ref="N50:P51"/>
    <mergeCell ref="Q50:R50"/>
    <mergeCell ref="H50:J51"/>
    <mergeCell ref="K50:L50"/>
    <mergeCell ref="H49:L49"/>
    <mergeCell ref="N52:Q52"/>
    <mergeCell ref="R52:R54"/>
    <mergeCell ref="N53:N54"/>
    <mergeCell ref="O53:P53"/>
    <mergeCell ref="O54:P54"/>
    <mergeCell ref="N55:Q55"/>
    <mergeCell ref="R55:R56"/>
    <mergeCell ref="N57:Q57"/>
    <mergeCell ref="R57:R62"/>
    <mergeCell ref="N58:P58"/>
    <mergeCell ref="N62:P62"/>
    <mergeCell ref="N68:P68"/>
    <mergeCell ref="N63:P63"/>
    <mergeCell ref="N64:Q64"/>
    <mergeCell ref="R64:R65"/>
    <mergeCell ref="N65:O65"/>
    <mergeCell ref="N66:Q66"/>
    <mergeCell ref="R66:R67"/>
    <mergeCell ref="N67:O67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AC84F1-F516-4559-8129-DC86861C7837}">
  <sheetPr>
    <tabColor theme="9" tint="0.59999389629810485"/>
    <pageSetUpPr fitToPage="1"/>
  </sheetPr>
  <dimension ref="A1:AF99"/>
  <sheetViews>
    <sheetView showGridLines="0" zoomScale="85" zoomScaleNormal="85" workbookViewId="0">
      <selection activeCell="H17" sqref="H17"/>
    </sheetView>
  </sheetViews>
  <sheetFormatPr defaultColWidth="9.140625" defaultRowHeight="14.25"/>
  <cols>
    <col min="1" max="1" width="14.5703125" style="13" customWidth="1"/>
    <col min="2" max="2" width="42.140625" style="13" customWidth="1"/>
    <col min="3" max="3" width="20.7109375" style="13" customWidth="1"/>
    <col min="4" max="10" width="12.5703125" style="13" customWidth="1"/>
    <col min="11" max="11" width="13.42578125" style="13" customWidth="1"/>
    <col min="12" max="15" width="9.140625" style="13"/>
    <col min="16" max="16" width="23.5703125" style="13" customWidth="1"/>
    <col min="17" max="17" width="11.5703125" style="13" bestFit="1" customWidth="1"/>
    <col min="18" max="18" width="13.140625" style="13" customWidth="1"/>
    <col min="19" max="21" width="9.140625" style="13"/>
    <col min="22" max="22" width="10.42578125" style="13" customWidth="1"/>
    <col min="23" max="24" width="20.28515625" style="13" customWidth="1"/>
    <col min="25" max="28" width="9.140625" style="13"/>
    <col min="29" max="29" width="38.85546875" style="13" customWidth="1"/>
    <col min="30" max="30" width="51.28515625" style="13" customWidth="1"/>
    <col min="31" max="31" width="21.42578125" style="13" customWidth="1"/>
    <col min="32" max="32" width="30.7109375" style="13" customWidth="1"/>
    <col min="33" max="16384" width="9.140625" style="13"/>
  </cols>
  <sheetData>
    <row r="1" spans="1:32" ht="65.25" customHeight="1">
      <c r="A1" s="540"/>
      <c r="B1" s="541"/>
      <c r="C1" s="538" t="s">
        <v>452</v>
      </c>
      <c r="D1" s="538"/>
      <c r="E1" s="538"/>
      <c r="F1" s="538"/>
      <c r="G1" s="538"/>
      <c r="H1" s="538"/>
      <c r="I1" s="538"/>
      <c r="J1" s="538"/>
      <c r="K1" s="539"/>
      <c r="M1" s="544" t="s">
        <v>324</v>
      </c>
      <c r="N1" s="544"/>
      <c r="O1" s="544"/>
      <c r="P1" s="544"/>
      <c r="Q1" s="544"/>
      <c r="R1" s="544"/>
      <c r="S1" s="544"/>
      <c r="T1" s="544"/>
      <c r="U1" s="544"/>
      <c r="V1" s="544"/>
      <c r="W1" s="544"/>
      <c r="X1" s="544"/>
    </row>
    <row r="2" spans="1:32" ht="21.75" customHeight="1">
      <c r="A2" s="549" t="s">
        <v>774</v>
      </c>
      <c r="B2" s="550"/>
      <c r="C2" s="550"/>
      <c r="D2" s="550"/>
      <c r="E2" s="550"/>
      <c r="F2" s="550"/>
      <c r="G2" s="550"/>
      <c r="H2" s="550"/>
      <c r="I2" s="550"/>
      <c r="J2" s="550"/>
      <c r="K2" s="551"/>
      <c r="M2" s="544" t="s">
        <v>325</v>
      </c>
      <c r="N2" s="544" t="s">
        <v>326</v>
      </c>
      <c r="O2" s="544" t="s">
        <v>327</v>
      </c>
      <c r="P2" s="544" t="s">
        <v>328</v>
      </c>
      <c r="Q2" s="546" t="s">
        <v>329</v>
      </c>
      <c r="R2" s="546" t="s">
        <v>330</v>
      </c>
      <c r="S2" s="132">
        <v>1</v>
      </c>
      <c r="T2" s="132">
        <v>1</v>
      </c>
      <c r="U2" s="132">
        <v>1</v>
      </c>
      <c r="V2" s="546" t="s">
        <v>331</v>
      </c>
      <c r="W2" s="132">
        <v>1</v>
      </c>
      <c r="X2" s="132">
        <v>1</v>
      </c>
    </row>
    <row r="3" spans="1:32" ht="27.75" customHeight="1" thickBot="1">
      <c r="A3" s="552"/>
      <c r="B3" s="553"/>
      <c r="C3" s="553"/>
      <c r="D3" s="553"/>
      <c r="E3" s="553"/>
      <c r="F3" s="553"/>
      <c r="G3" s="553"/>
      <c r="H3" s="553"/>
      <c r="I3" s="553"/>
      <c r="J3" s="553"/>
      <c r="K3" s="554"/>
      <c r="M3" s="544"/>
      <c r="N3" s="544"/>
      <c r="O3" s="544"/>
      <c r="P3" s="544"/>
      <c r="Q3" s="546"/>
      <c r="R3" s="546"/>
      <c r="S3" s="544" t="s">
        <v>332</v>
      </c>
      <c r="T3" s="544" t="s">
        <v>333</v>
      </c>
      <c r="U3" s="544" t="s">
        <v>734</v>
      </c>
      <c r="V3" s="546"/>
      <c r="W3" s="547" t="s">
        <v>669</v>
      </c>
      <c r="X3" s="547" t="s">
        <v>670</v>
      </c>
      <c r="Z3" s="558" t="s">
        <v>772</v>
      </c>
      <c r="AA3" s="559"/>
      <c r="AB3" s="559"/>
      <c r="AC3" s="559"/>
      <c r="AD3" s="559"/>
      <c r="AE3" s="559"/>
      <c r="AF3" s="560"/>
    </row>
    <row r="4" spans="1:32" ht="27.75" customHeight="1" thickBot="1">
      <c r="A4" s="103"/>
      <c r="B4" s="103"/>
      <c r="C4" s="103"/>
      <c r="D4" s="103"/>
      <c r="E4" s="103"/>
      <c r="F4" s="103"/>
      <c r="G4" s="103"/>
      <c r="H4" s="103"/>
      <c r="I4" s="103"/>
      <c r="J4" s="103"/>
      <c r="K4" s="103"/>
      <c r="M4" s="544"/>
      <c r="N4" s="544"/>
      <c r="O4" s="544"/>
      <c r="P4" s="544"/>
      <c r="Q4" s="546"/>
      <c r="R4" s="546"/>
      <c r="S4" s="544"/>
      <c r="T4" s="544"/>
      <c r="U4" s="544"/>
      <c r="V4" s="546"/>
      <c r="W4" s="548"/>
      <c r="X4" s="548"/>
      <c r="Z4" s="123" t="s">
        <v>325</v>
      </c>
      <c r="AA4" s="123" t="s">
        <v>326</v>
      </c>
      <c r="AB4" s="123" t="s">
        <v>327</v>
      </c>
      <c r="AC4" s="123" t="s">
        <v>328</v>
      </c>
      <c r="AD4" s="123" t="s">
        <v>334</v>
      </c>
      <c r="AE4" s="124" t="s">
        <v>335</v>
      </c>
      <c r="AF4" s="124" t="s">
        <v>336</v>
      </c>
    </row>
    <row r="5" spans="1:32" s="104" customFormat="1" ht="42" customHeight="1">
      <c r="A5" s="535" t="s">
        <v>453</v>
      </c>
      <c r="B5" s="536"/>
      <c r="C5" s="536"/>
      <c r="D5" s="536"/>
      <c r="E5" s="536"/>
      <c r="F5" s="536"/>
      <c r="G5" s="536"/>
      <c r="H5" s="536"/>
      <c r="I5" s="536"/>
      <c r="J5" s="536"/>
      <c r="K5" s="537"/>
      <c r="M5" s="545">
        <v>1</v>
      </c>
      <c r="N5" s="126" t="s">
        <v>337</v>
      </c>
      <c r="O5" s="127" t="s">
        <v>338</v>
      </c>
      <c r="P5" s="131" t="s">
        <v>322</v>
      </c>
      <c r="Q5" s="130">
        <f>AE5</f>
        <v>475.9</v>
      </c>
      <c r="R5" s="133">
        <f>AF5</f>
        <v>1406.6699999999998</v>
      </c>
      <c r="S5" s="134">
        <f>ROUNDUP(S2*$R$5,0)</f>
        <v>1407</v>
      </c>
      <c r="T5" s="134">
        <f>ROUNDUP(T2*$R$5,0)</f>
        <v>1407</v>
      </c>
      <c r="U5" s="134">
        <f>ROUNDUP(U2*$R$5,0)</f>
        <v>1407</v>
      </c>
      <c r="V5" s="134">
        <f>ROUNDUP(Q5*0.05,0)</f>
        <v>24</v>
      </c>
      <c r="W5" s="134">
        <f t="shared" ref="W5:X7" si="0">ROUNDUP($Q5*W$2,0)</f>
        <v>476</v>
      </c>
      <c r="X5" s="134">
        <f t="shared" si="0"/>
        <v>476</v>
      </c>
      <c r="Z5" s="547" t="s">
        <v>673</v>
      </c>
      <c r="AA5" s="561" t="s">
        <v>337</v>
      </c>
      <c r="AB5" s="561" t="s">
        <v>338</v>
      </c>
      <c r="AC5" s="272" t="s">
        <v>322</v>
      </c>
      <c r="AD5" s="272" t="s">
        <v>339</v>
      </c>
      <c r="AE5" s="273">
        <v>475.9</v>
      </c>
      <c r="AF5" s="273">
        <f>SUM(AF6:AF14)</f>
        <v>1406.6699999999998</v>
      </c>
    </row>
    <row r="6" spans="1:32" ht="45" customHeight="1">
      <c r="A6" s="278" t="s">
        <v>454</v>
      </c>
      <c r="B6" s="533" t="s">
        <v>455</v>
      </c>
      <c r="C6" s="533"/>
      <c r="D6" s="533"/>
      <c r="E6" s="533"/>
      <c r="F6" s="533"/>
      <c r="G6" s="514"/>
      <c r="H6" s="533" t="s">
        <v>456</v>
      </c>
      <c r="I6" s="533"/>
      <c r="J6" s="533"/>
      <c r="K6" s="534"/>
      <c r="M6" s="545"/>
      <c r="N6" s="126" t="s">
        <v>347</v>
      </c>
      <c r="O6" s="127" t="s">
        <v>348</v>
      </c>
      <c r="P6" s="131" t="s">
        <v>323</v>
      </c>
      <c r="Q6" s="130">
        <f>AE15</f>
        <v>726.9</v>
      </c>
      <c r="R6" s="133">
        <f>AF15</f>
        <v>1830.6</v>
      </c>
      <c r="S6" s="134">
        <f>ROUNDUP(S2*$R$6,0)</f>
        <v>1831</v>
      </c>
      <c r="T6" s="134">
        <f>ROUNDUP(T2*$R$6,0)</f>
        <v>1831</v>
      </c>
      <c r="U6" s="134">
        <f>ROUNDUP(U2*$R$6,0)</f>
        <v>1831</v>
      </c>
      <c r="V6" s="134">
        <f>ROUNDUP(Q6*0.05,0)</f>
        <v>37</v>
      </c>
      <c r="W6" s="134">
        <f t="shared" si="0"/>
        <v>727</v>
      </c>
      <c r="X6" s="134">
        <f t="shared" si="0"/>
        <v>727</v>
      </c>
      <c r="Z6" s="564"/>
      <c r="AA6" s="562"/>
      <c r="AB6" s="562"/>
      <c r="AC6" s="128" t="s">
        <v>0</v>
      </c>
      <c r="AD6" s="129"/>
      <c r="AE6" s="130"/>
      <c r="AF6" s="130"/>
    </row>
    <row r="7" spans="1:32" ht="40.5" customHeight="1">
      <c r="A7" s="278">
        <v>1</v>
      </c>
      <c r="B7" s="542" t="s">
        <v>506</v>
      </c>
      <c r="C7" s="543"/>
      <c r="D7" s="543"/>
      <c r="E7" s="543"/>
      <c r="F7" s="543"/>
      <c r="G7" s="543"/>
      <c r="H7" s="533" t="s">
        <v>507</v>
      </c>
      <c r="I7" s="533"/>
      <c r="J7" s="533"/>
      <c r="K7" s="534"/>
      <c r="M7" s="163">
        <v>2</v>
      </c>
      <c r="N7" s="160" t="s">
        <v>663</v>
      </c>
      <c r="O7" s="127" t="s">
        <v>664</v>
      </c>
      <c r="P7" s="131" t="s">
        <v>665</v>
      </c>
      <c r="Q7" s="130">
        <f>AE34</f>
        <v>680.6</v>
      </c>
      <c r="R7" s="133">
        <f>AF34</f>
        <v>2147.1709999999998</v>
      </c>
      <c r="S7" s="134">
        <f>ROUNDUP(S2*$R$7,0)</f>
        <v>2148</v>
      </c>
      <c r="T7" s="134">
        <f>ROUNDUP(T2*$R$7,0)</f>
        <v>2148</v>
      </c>
      <c r="U7" s="134">
        <f>ROUNDUP(U2*$R$7,0)</f>
        <v>2148</v>
      </c>
      <c r="V7" s="134">
        <f>ROUNDUP(Q7*0.05,0)</f>
        <v>35</v>
      </c>
      <c r="W7" s="134">
        <f t="shared" si="0"/>
        <v>681</v>
      </c>
      <c r="X7" s="134">
        <f t="shared" si="0"/>
        <v>681</v>
      </c>
      <c r="Z7" s="564"/>
      <c r="AA7" s="562"/>
      <c r="AB7" s="562"/>
      <c r="AC7" s="131" t="s">
        <v>340</v>
      </c>
      <c r="AD7" s="129"/>
      <c r="AE7" s="130"/>
      <c r="AF7" s="130">
        <v>921.96</v>
      </c>
    </row>
    <row r="8" spans="1:32" ht="18" customHeight="1">
      <c r="A8" s="278">
        <v>2</v>
      </c>
      <c r="B8" s="542" t="s">
        <v>459</v>
      </c>
      <c r="C8" s="543"/>
      <c r="D8" s="543"/>
      <c r="E8" s="543"/>
      <c r="F8" s="543"/>
      <c r="G8" s="543"/>
      <c r="H8" s="533" t="s">
        <v>460</v>
      </c>
      <c r="I8" s="533"/>
      <c r="J8" s="533"/>
      <c r="K8" s="534"/>
      <c r="M8" s="121"/>
      <c r="N8" s="11"/>
      <c r="O8" s="11"/>
      <c r="P8" s="11"/>
      <c r="Q8" s="12"/>
      <c r="R8" s="12"/>
      <c r="S8" s="12"/>
      <c r="T8" s="12"/>
      <c r="U8" s="12"/>
      <c r="V8" s="12"/>
      <c r="Z8" s="564"/>
      <c r="AA8" s="562"/>
      <c r="AB8" s="562"/>
      <c r="AC8" s="131" t="s">
        <v>341</v>
      </c>
      <c r="AD8" s="129"/>
      <c r="AE8" s="130"/>
      <c r="AF8" s="130">
        <v>336.28</v>
      </c>
    </row>
    <row r="9" spans="1:32" ht="18" customHeight="1">
      <c r="A9" s="278">
        <v>3</v>
      </c>
      <c r="B9" s="542" t="s">
        <v>565</v>
      </c>
      <c r="C9" s="543"/>
      <c r="D9" s="543"/>
      <c r="E9" s="543"/>
      <c r="F9" s="543"/>
      <c r="G9" s="543"/>
      <c r="H9" s="533" t="s">
        <v>566</v>
      </c>
      <c r="I9" s="533"/>
      <c r="J9" s="533"/>
      <c r="K9" s="534"/>
      <c r="M9" s="121"/>
      <c r="N9" s="11"/>
      <c r="O9" s="11"/>
      <c r="P9" s="11"/>
      <c r="Q9" s="12"/>
      <c r="R9" s="11"/>
      <c r="S9" s="11"/>
      <c r="T9" s="11"/>
      <c r="U9" s="122"/>
      <c r="V9" s="122"/>
      <c r="Z9" s="564"/>
      <c r="AA9" s="562"/>
      <c r="AB9" s="562"/>
      <c r="AC9" s="131" t="s">
        <v>342</v>
      </c>
      <c r="AD9" s="129"/>
      <c r="AE9" s="130"/>
      <c r="AF9" s="130">
        <v>82.02</v>
      </c>
    </row>
    <row r="10" spans="1:32" ht="18" customHeight="1">
      <c r="A10" s="108">
        <v>4</v>
      </c>
      <c r="B10" s="514" t="s">
        <v>463</v>
      </c>
      <c r="C10" s="515"/>
      <c r="D10" s="515"/>
      <c r="E10" s="515"/>
      <c r="F10" s="515"/>
      <c r="G10" s="516"/>
      <c r="H10" s="514" t="s">
        <v>464</v>
      </c>
      <c r="I10" s="515"/>
      <c r="J10" s="515"/>
      <c r="K10" s="517"/>
      <c r="M10" s="121"/>
      <c r="N10" s="11"/>
      <c r="O10" s="11"/>
      <c r="P10" s="11"/>
      <c r="Q10" s="12"/>
      <c r="R10" s="11"/>
      <c r="S10" s="11"/>
      <c r="T10" s="11"/>
      <c r="U10" s="122"/>
      <c r="V10" s="122"/>
      <c r="Z10" s="564"/>
      <c r="AA10" s="562"/>
      <c r="AB10" s="562"/>
      <c r="AC10" s="131" t="s">
        <v>343</v>
      </c>
      <c r="AD10" s="129"/>
      <c r="AE10" s="130"/>
      <c r="AF10" s="130">
        <v>30.37</v>
      </c>
    </row>
    <row r="11" spans="1:32" ht="18" customHeight="1">
      <c r="A11" s="108">
        <v>5</v>
      </c>
      <c r="B11" s="514" t="s">
        <v>731</v>
      </c>
      <c r="C11" s="515"/>
      <c r="D11" s="515"/>
      <c r="E11" s="515"/>
      <c r="F11" s="515"/>
      <c r="G11" s="516"/>
      <c r="H11" s="514" t="s">
        <v>732</v>
      </c>
      <c r="I11" s="515"/>
      <c r="J11" s="515"/>
      <c r="K11" s="517"/>
      <c r="M11" s="121"/>
      <c r="N11" s="11"/>
      <c r="O11" s="11"/>
      <c r="P11" s="11"/>
      <c r="Q11" s="12"/>
      <c r="R11" s="11"/>
      <c r="S11" s="11"/>
      <c r="T11" s="11"/>
      <c r="U11" s="122"/>
      <c r="V11" s="122"/>
      <c r="Z11" s="564"/>
      <c r="AA11" s="562"/>
      <c r="AB11" s="562"/>
      <c r="AC11" s="131" t="s">
        <v>344</v>
      </c>
      <c r="AD11" s="129"/>
      <c r="AE11" s="130"/>
      <c r="AF11" s="130">
        <v>1.23</v>
      </c>
    </row>
    <row r="12" spans="1:32" ht="18" customHeight="1" thickBot="1">
      <c r="A12" s="105">
        <v>6</v>
      </c>
      <c r="B12" s="555" t="s">
        <v>457</v>
      </c>
      <c r="C12" s="555"/>
      <c r="D12" s="555"/>
      <c r="E12" s="555"/>
      <c r="F12" s="555"/>
      <c r="G12" s="555"/>
      <c r="H12" s="555" t="s">
        <v>458</v>
      </c>
      <c r="I12" s="555"/>
      <c r="J12" s="555"/>
      <c r="K12" s="556"/>
      <c r="M12" s="121"/>
      <c r="N12" s="11"/>
      <c r="O12" s="11"/>
      <c r="P12" s="11"/>
      <c r="Q12" s="11"/>
      <c r="R12" s="11"/>
      <c r="S12" s="11"/>
      <c r="T12" s="11"/>
      <c r="U12" s="122"/>
      <c r="V12" s="122"/>
      <c r="Z12" s="564"/>
      <c r="AA12" s="562"/>
      <c r="AB12" s="562"/>
      <c r="AC12" s="128" t="s">
        <v>345</v>
      </c>
      <c r="AD12" s="129"/>
      <c r="AE12" s="130"/>
      <c r="AF12" s="130"/>
    </row>
    <row r="13" spans="1:32" ht="26.25" customHeight="1" thickBot="1">
      <c r="A13" s="106"/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M13" s="121"/>
      <c r="N13" s="11"/>
      <c r="O13" s="11"/>
      <c r="P13" s="11"/>
      <c r="Q13" s="11"/>
      <c r="R13" s="11"/>
      <c r="S13" s="11"/>
      <c r="T13" s="11"/>
      <c r="U13" s="122"/>
      <c r="V13" s="122"/>
      <c r="Z13" s="564"/>
      <c r="AA13" s="562"/>
      <c r="AB13" s="562"/>
      <c r="AC13" s="131" t="s">
        <v>340</v>
      </c>
      <c r="AD13" s="129"/>
      <c r="AE13" s="130"/>
      <c r="AF13" s="130">
        <v>34.81</v>
      </c>
    </row>
    <row r="14" spans="1:32" s="104" customFormat="1" ht="42" customHeight="1">
      <c r="A14" s="535" t="s">
        <v>465</v>
      </c>
      <c r="B14" s="536"/>
      <c r="C14" s="536"/>
      <c r="D14" s="536"/>
      <c r="E14" s="536"/>
      <c r="F14" s="536"/>
      <c r="G14" s="536"/>
      <c r="H14" s="536"/>
      <c r="I14" s="536"/>
      <c r="J14" s="536"/>
      <c r="K14" s="537"/>
      <c r="M14" s="121"/>
      <c r="N14" s="11"/>
      <c r="O14" s="11"/>
      <c r="P14" s="11"/>
      <c r="Q14" s="11"/>
      <c r="R14" s="11"/>
      <c r="S14" s="11"/>
      <c r="T14" s="11"/>
      <c r="U14" s="122"/>
      <c r="V14" s="122"/>
      <c r="Z14" s="564"/>
      <c r="AA14" s="563"/>
      <c r="AB14" s="563"/>
      <c r="AC14" s="131" t="s">
        <v>341</v>
      </c>
      <c r="AD14" s="129"/>
      <c r="AE14" s="130"/>
      <c r="AF14" s="130">
        <v>0</v>
      </c>
    </row>
    <row r="15" spans="1:32" ht="32.25" customHeight="1">
      <c r="A15" s="557" t="s">
        <v>466</v>
      </c>
      <c r="B15" s="533" t="s">
        <v>467</v>
      </c>
      <c r="C15" s="532" t="s">
        <v>468</v>
      </c>
      <c r="D15" s="533" t="s">
        <v>16</v>
      </c>
      <c r="E15" s="514" t="s">
        <v>485</v>
      </c>
      <c r="F15" s="515"/>
      <c r="G15" s="515"/>
      <c r="H15" s="515"/>
      <c r="I15" s="515"/>
      <c r="J15" s="516"/>
      <c r="K15" s="534" t="s">
        <v>773</v>
      </c>
      <c r="M15" s="121"/>
      <c r="N15" s="11"/>
      <c r="O15" s="11"/>
      <c r="P15" s="11"/>
      <c r="Q15" s="11"/>
      <c r="R15" s="11"/>
      <c r="S15" s="11"/>
      <c r="T15" s="122"/>
      <c r="V15" s="122"/>
      <c r="Z15" s="564"/>
      <c r="AA15" s="561" t="s">
        <v>347</v>
      </c>
      <c r="AB15" s="565" t="s">
        <v>348</v>
      </c>
      <c r="AC15" s="272" t="s">
        <v>323</v>
      </c>
      <c r="AD15" s="272" t="s">
        <v>349</v>
      </c>
      <c r="AE15" s="274">
        <v>726.9</v>
      </c>
      <c r="AF15" s="274">
        <f>SUM(AF16:AF33)</f>
        <v>1830.6</v>
      </c>
    </row>
    <row r="16" spans="1:32" ht="27" customHeight="1">
      <c r="A16" s="557"/>
      <c r="B16" s="533"/>
      <c r="C16" s="532"/>
      <c r="D16" s="533"/>
      <c r="E16" s="277" t="s">
        <v>469</v>
      </c>
      <c r="F16" s="277" t="s">
        <v>470</v>
      </c>
      <c r="G16" s="277" t="s">
        <v>471</v>
      </c>
      <c r="H16" s="277" t="s">
        <v>472</v>
      </c>
      <c r="I16" s="277" t="s">
        <v>737</v>
      </c>
      <c r="J16" s="277" t="s">
        <v>757</v>
      </c>
      <c r="K16" s="534"/>
      <c r="M16" s="121"/>
      <c r="N16" s="11"/>
      <c r="O16" s="11"/>
      <c r="P16" s="11"/>
      <c r="Q16" s="11"/>
      <c r="R16" s="11"/>
      <c r="S16" s="11"/>
      <c r="T16" s="122"/>
      <c r="U16" s="122"/>
      <c r="V16" s="122"/>
      <c r="Z16" s="564"/>
      <c r="AA16" s="562"/>
      <c r="AB16" s="566"/>
      <c r="AC16" s="128" t="s">
        <v>350</v>
      </c>
      <c r="AD16" s="129"/>
      <c r="AE16" s="130"/>
      <c r="AF16" s="130"/>
    </row>
    <row r="17" spans="1:32" ht="31.5" customHeight="1">
      <c r="A17" s="108">
        <v>1</v>
      </c>
      <c r="B17" s="109" t="s">
        <v>473</v>
      </c>
      <c r="C17" s="110" t="s">
        <v>32</v>
      </c>
      <c r="D17" s="111">
        <v>1282</v>
      </c>
      <c r="E17" s="112">
        <v>219</v>
      </c>
      <c r="F17" s="112">
        <v>244</v>
      </c>
      <c r="G17" s="112">
        <v>253.24</v>
      </c>
      <c r="H17" s="112">
        <v>698</v>
      </c>
      <c r="I17" s="112">
        <v>240</v>
      </c>
      <c r="J17" s="112">
        <v>425</v>
      </c>
      <c r="K17" s="113">
        <f>SMALL(E17:J17,1)</f>
        <v>219</v>
      </c>
      <c r="M17" s="121"/>
      <c r="N17" s="11"/>
      <c r="O17" s="11"/>
      <c r="P17" s="11"/>
      <c r="Q17" s="11"/>
      <c r="R17" s="11"/>
      <c r="S17" s="11"/>
      <c r="T17" s="11"/>
      <c r="U17" s="122"/>
      <c r="V17" s="122"/>
      <c r="Z17" s="564"/>
      <c r="AA17" s="562"/>
      <c r="AB17" s="566"/>
      <c r="AC17" s="131" t="s">
        <v>340</v>
      </c>
      <c r="AD17" s="129"/>
      <c r="AE17" s="130">
        <v>105.9</v>
      </c>
      <c r="AF17" s="130">
        <f>AE17*2</f>
        <v>211.8</v>
      </c>
    </row>
    <row r="18" spans="1:32" ht="31.5" customHeight="1">
      <c r="A18" s="278">
        <v>2</v>
      </c>
      <c r="B18" s="114" t="s">
        <v>474</v>
      </c>
      <c r="C18" s="110" t="s">
        <v>32</v>
      </c>
      <c r="D18" s="111">
        <v>3204</v>
      </c>
      <c r="E18" s="115">
        <v>36</v>
      </c>
      <c r="F18" s="116">
        <v>23.49</v>
      </c>
      <c r="G18" s="116">
        <v>55.98</v>
      </c>
      <c r="H18" s="116">
        <v>95.28</v>
      </c>
      <c r="I18" s="116">
        <v>39</v>
      </c>
      <c r="J18" s="116">
        <v>70</v>
      </c>
      <c r="K18" s="113">
        <f>SMALL(E18:J18,1)</f>
        <v>23.49</v>
      </c>
      <c r="S18" s="122"/>
      <c r="U18" s="122"/>
      <c r="Z18" s="564"/>
      <c r="AA18" s="562"/>
      <c r="AB18" s="566"/>
      <c r="AC18" s="131" t="s">
        <v>341</v>
      </c>
      <c r="AD18" s="129"/>
      <c r="AE18" s="130">
        <v>40.4</v>
      </c>
      <c r="AF18" s="130">
        <f>AE18*4</f>
        <v>161.6</v>
      </c>
    </row>
    <row r="19" spans="1:32" ht="31.5" customHeight="1">
      <c r="A19" s="278">
        <v>3</v>
      </c>
      <c r="B19" s="114" t="s">
        <v>733</v>
      </c>
      <c r="C19" s="110" t="s">
        <v>32</v>
      </c>
      <c r="D19" s="111">
        <v>1282</v>
      </c>
      <c r="E19" s="115">
        <v>75.5</v>
      </c>
      <c r="F19" s="116">
        <v>177.05</v>
      </c>
      <c r="G19" s="116">
        <v>57.15</v>
      </c>
      <c r="H19" s="116">
        <v>180.88</v>
      </c>
      <c r="I19" s="116">
        <v>109.5</v>
      </c>
      <c r="J19" s="116">
        <v>68</v>
      </c>
      <c r="K19" s="113">
        <f>SMALL(E19:J19,1)</f>
        <v>57.15</v>
      </c>
      <c r="S19" s="122"/>
      <c r="U19" s="122"/>
      <c r="Z19" s="564"/>
      <c r="AA19" s="562"/>
      <c r="AB19" s="566"/>
      <c r="AC19" s="128" t="s">
        <v>351</v>
      </c>
      <c r="AD19" s="129"/>
      <c r="AE19" s="130"/>
      <c r="AF19" s="130"/>
    </row>
    <row r="20" spans="1:32" ht="31.5" customHeight="1">
      <c r="A20" s="278">
        <v>4</v>
      </c>
      <c r="B20" s="114" t="s">
        <v>475</v>
      </c>
      <c r="C20" s="110" t="s">
        <v>476</v>
      </c>
      <c r="D20" s="110">
        <v>345</v>
      </c>
      <c r="E20" s="115">
        <v>810</v>
      </c>
      <c r="F20" s="116">
        <v>371.4</v>
      </c>
      <c r="G20" s="116"/>
      <c r="H20" s="116">
        <v>300.12</v>
      </c>
      <c r="I20" s="116">
        <v>400</v>
      </c>
      <c r="J20" s="116">
        <v>295</v>
      </c>
      <c r="K20" s="113">
        <f>SMALL(E20:J20,1)</f>
        <v>295</v>
      </c>
      <c r="S20" s="122"/>
      <c r="U20" s="122"/>
      <c r="Z20" s="564"/>
      <c r="AA20" s="562"/>
      <c r="AB20" s="566"/>
      <c r="AC20" s="131" t="s">
        <v>340</v>
      </c>
      <c r="AD20" s="129"/>
      <c r="AE20" s="130">
        <v>0</v>
      </c>
      <c r="AF20" s="130">
        <f>AE20*2</f>
        <v>0</v>
      </c>
    </row>
    <row r="21" spans="1:32" ht="31.5" customHeight="1">
      <c r="A21" s="278">
        <v>5</v>
      </c>
      <c r="B21" s="114" t="s">
        <v>477</v>
      </c>
      <c r="C21" s="277" t="s">
        <v>478</v>
      </c>
      <c r="D21" s="277">
        <v>460</v>
      </c>
      <c r="E21" s="115"/>
      <c r="F21" s="116"/>
      <c r="G21" s="116"/>
      <c r="H21" s="116">
        <v>1099.51</v>
      </c>
      <c r="I21" s="116">
        <v>362</v>
      </c>
      <c r="J21" s="116">
        <v>390</v>
      </c>
      <c r="K21" s="113">
        <f>SMALL(E21:J21,1)</f>
        <v>362</v>
      </c>
      <c r="S21" s="122"/>
      <c r="U21" s="122"/>
      <c r="Z21" s="564"/>
      <c r="AA21" s="562"/>
      <c r="AB21" s="566"/>
      <c r="AC21" s="131" t="s">
        <v>341</v>
      </c>
      <c r="AD21" s="129"/>
      <c r="AE21" s="130">
        <v>46.6</v>
      </c>
      <c r="AF21" s="130">
        <f>AE21*4</f>
        <v>186.4</v>
      </c>
    </row>
    <row r="22" spans="1:32" ht="35.25" customHeight="1">
      <c r="A22" s="117"/>
      <c r="B22" s="106"/>
      <c r="C22" s="107"/>
      <c r="D22" s="107"/>
      <c r="E22" s="518" t="s">
        <v>479</v>
      </c>
      <c r="F22" s="519"/>
      <c r="G22" s="520"/>
      <c r="H22" s="518"/>
      <c r="I22" s="519"/>
      <c r="J22" s="519"/>
      <c r="K22" s="521"/>
      <c r="S22" s="122"/>
      <c r="U22" s="122"/>
      <c r="Z22" s="564"/>
      <c r="AA22" s="562"/>
      <c r="AB22" s="566"/>
      <c r="AC22" s="128" t="s">
        <v>352</v>
      </c>
      <c r="AD22" s="129"/>
      <c r="AE22" s="130"/>
      <c r="AF22" s="130"/>
    </row>
    <row r="23" spans="1:32" ht="22.5" customHeight="1">
      <c r="A23" s="117"/>
      <c r="B23" s="106"/>
      <c r="C23" s="107"/>
      <c r="D23" s="107"/>
      <c r="E23" s="522" t="s">
        <v>756</v>
      </c>
      <c r="F23" s="523"/>
      <c r="G23" s="524"/>
      <c r="H23" s="528" t="s">
        <v>480</v>
      </c>
      <c r="I23" s="529"/>
      <c r="J23" s="529"/>
      <c r="K23" s="530"/>
      <c r="S23" s="122"/>
      <c r="U23" s="122"/>
      <c r="Z23" s="564"/>
      <c r="AA23" s="562"/>
      <c r="AB23" s="566"/>
      <c r="AC23" s="131" t="s">
        <v>340</v>
      </c>
      <c r="AD23" s="129"/>
      <c r="AE23" s="130">
        <v>405.8</v>
      </c>
      <c r="AF23" s="130">
        <f>AE23*2</f>
        <v>811.6</v>
      </c>
    </row>
    <row r="24" spans="1:32" ht="48" customHeight="1" thickBot="1">
      <c r="A24" s="118"/>
      <c r="B24" s="119"/>
      <c r="C24" s="120"/>
      <c r="D24" s="120"/>
      <c r="E24" s="525"/>
      <c r="F24" s="526"/>
      <c r="G24" s="527"/>
      <c r="H24" s="525" t="s">
        <v>755</v>
      </c>
      <c r="I24" s="526"/>
      <c r="J24" s="526"/>
      <c r="K24" s="531"/>
      <c r="S24" s="122"/>
      <c r="U24" s="122"/>
      <c r="Z24" s="564"/>
      <c r="AA24" s="562"/>
      <c r="AB24" s="566"/>
      <c r="AC24" s="131" t="s">
        <v>341</v>
      </c>
      <c r="AD24" s="129"/>
      <c r="AE24" s="130">
        <v>1.8</v>
      </c>
      <c r="AF24" s="130">
        <f>AE24*4</f>
        <v>7.2</v>
      </c>
    </row>
    <row r="25" spans="1:32" ht="15">
      <c r="S25" s="122"/>
      <c r="U25" s="122"/>
      <c r="Z25" s="564"/>
      <c r="AA25" s="562"/>
      <c r="AB25" s="566"/>
      <c r="AC25" s="128" t="s">
        <v>353</v>
      </c>
      <c r="AD25" s="129"/>
      <c r="AE25" s="130"/>
      <c r="AF25" s="130"/>
    </row>
    <row r="26" spans="1:32" ht="15">
      <c r="S26" s="122"/>
      <c r="U26" s="122"/>
      <c r="Z26" s="564"/>
      <c r="AA26" s="562"/>
      <c r="AB26" s="566"/>
      <c r="AC26" s="131" t="s">
        <v>340</v>
      </c>
      <c r="AD26" s="129"/>
      <c r="AE26" s="130">
        <v>22.8</v>
      </c>
      <c r="AF26" s="130">
        <f>AE26*2</f>
        <v>45.6</v>
      </c>
    </row>
    <row r="27" spans="1:32" ht="15">
      <c r="S27" s="122"/>
      <c r="U27" s="122"/>
      <c r="Z27" s="564"/>
      <c r="AA27" s="562"/>
      <c r="AB27" s="566"/>
      <c r="AC27" s="131" t="s">
        <v>341</v>
      </c>
      <c r="AD27" s="129"/>
      <c r="AE27" s="130">
        <v>0</v>
      </c>
      <c r="AF27" s="130">
        <f>AE27*4</f>
        <v>0</v>
      </c>
    </row>
    <row r="28" spans="1:32" ht="15">
      <c r="S28" s="122"/>
      <c r="U28" s="122"/>
      <c r="Z28" s="564"/>
      <c r="AA28" s="562"/>
      <c r="AB28" s="566"/>
      <c r="AC28" s="128" t="s">
        <v>354</v>
      </c>
      <c r="AD28" s="129"/>
      <c r="AE28" s="130"/>
      <c r="AF28" s="130"/>
    </row>
    <row r="29" spans="1:32" ht="15">
      <c r="S29" s="122"/>
      <c r="U29" s="122"/>
      <c r="Z29" s="564"/>
      <c r="AA29" s="562"/>
      <c r="AB29" s="566"/>
      <c r="AC29" s="131" t="s">
        <v>340</v>
      </c>
      <c r="AD29" s="129"/>
      <c r="AE29" s="130">
        <v>0</v>
      </c>
      <c r="AF29" s="130">
        <f>AE29*2</f>
        <v>0</v>
      </c>
    </row>
    <row r="30" spans="1:32" ht="15">
      <c r="S30" s="122"/>
      <c r="U30" s="122"/>
      <c r="Z30" s="564"/>
      <c r="AA30" s="562"/>
      <c r="AB30" s="566"/>
      <c r="AC30" s="131" t="s">
        <v>341</v>
      </c>
      <c r="AD30" s="129"/>
      <c r="AE30" s="130">
        <v>26</v>
      </c>
      <c r="AF30" s="130">
        <f>AE30*4</f>
        <v>104</v>
      </c>
    </row>
    <row r="31" spans="1:32" ht="15">
      <c r="S31" s="122"/>
      <c r="U31" s="122"/>
      <c r="Z31" s="564"/>
      <c r="AA31" s="562"/>
      <c r="AB31" s="566"/>
      <c r="AC31" s="128" t="s">
        <v>355</v>
      </c>
      <c r="AD31" s="129"/>
      <c r="AE31" s="130"/>
      <c r="AF31" s="130"/>
    </row>
    <row r="32" spans="1:32" ht="15">
      <c r="S32" s="122"/>
      <c r="U32" s="122"/>
      <c r="Z32" s="564"/>
      <c r="AA32" s="562"/>
      <c r="AB32" s="566"/>
      <c r="AC32" s="131" t="s">
        <v>340</v>
      </c>
      <c r="AD32" s="129"/>
      <c r="AE32" s="130">
        <v>0</v>
      </c>
      <c r="AF32" s="130">
        <f>AE32*2</f>
        <v>0</v>
      </c>
    </row>
    <row r="33" spans="19:32" ht="15">
      <c r="S33" s="122"/>
      <c r="U33" s="122"/>
      <c r="Z33" s="564"/>
      <c r="AA33" s="563"/>
      <c r="AB33" s="567"/>
      <c r="AC33" s="131" t="s">
        <v>341</v>
      </c>
      <c r="AD33" s="129"/>
      <c r="AE33" s="130">
        <v>75.599999999999994</v>
      </c>
      <c r="AF33" s="130">
        <f>AE33*4</f>
        <v>302.39999999999998</v>
      </c>
    </row>
    <row r="34" spans="19:32" ht="102">
      <c r="S34" s="122"/>
      <c r="U34" s="122"/>
      <c r="Z34" s="564" t="s">
        <v>683</v>
      </c>
      <c r="AA34" s="561" t="s">
        <v>663</v>
      </c>
      <c r="AB34" s="561" t="s">
        <v>664</v>
      </c>
      <c r="AC34" s="272" t="s">
        <v>763</v>
      </c>
      <c r="AD34" s="125" t="s">
        <v>764</v>
      </c>
      <c r="AE34" s="274">
        <v>680.6</v>
      </c>
      <c r="AF34" s="274">
        <f>SUM(AF35:AF56)</f>
        <v>2147.1709999999998</v>
      </c>
    </row>
    <row r="35" spans="19:32" ht="15">
      <c r="S35" s="122"/>
      <c r="U35" s="122"/>
      <c r="Z35" s="564"/>
      <c r="AA35" s="562"/>
      <c r="AB35" s="562"/>
      <c r="AC35" s="128" t="s">
        <v>765</v>
      </c>
      <c r="AD35" s="129"/>
      <c r="AE35" s="130"/>
      <c r="AF35" s="130"/>
    </row>
    <row r="36" spans="19:32" ht="15">
      <c r="S36" s="122"/>
      <c r="U36" s="122"/>
      <c r="Z36" s="564"/>
      <c r="AA36" s="562"/>
      <c r="AB36" s="562"/>
      <c r="AC36" s="275" t="s">
        <v>340</v>
      </c>
      <c r="AD36" s="129"/>
      <c r="AE36" s="130"/>
      <c r="AF36" s="130">
        <v>844.48800000000006</v>
      </c>
    </row>
    <row r="37" spans="19:32" ht="15">
      <c r="S37" s="122"/>
      <c r="U37" s="122"/>
      <c r="Z37" s="564"/>
      <c r="AA37" s="562"/>
      <c r="AB37" s="562"/>
      <c r="AC37" s="275" t="s">
        <v>341</v>
      </c>
      <c r="AD37" s="129"/>
      <c r="AE37" s="130"/>
      <c r="AF37" s="130">
        <v>355.03899999999999</v>
      </c>
    </row>
    <row r="38" spans="19:32" ht="15">
      <c r="S38" s="122"/>
      <c r="U38" s="122"/>
      <c r="Z38" s="564"/>
      <c r="AA38" s="562"/>
      <c r="AB38" s="562"/>
      <c r="AC38" s="275" t="s">
        <v>342</v>
      </c>
      <c r="AD38" s="129"/>
      <c r="AE38" s="130"/>
      <c r="AF38" s="130">
        <v>43.045999999999999</v>
      </c>
    </row>
    <row r="39" spans="19:32" ht="15">
      <c r="S39" s="122"/>
      <c r="U39" s="122"/>
      <c r="Z39" s="564"/>
      <c r="AA39" s="562"/>
      <c r="AB39" s="562"/>
      <c r="AC39" s="275" t="s">
        <v>343</v>
      </c>
      <c r="AD39" s="129"/>
      <c r="AE39" s="130"/>
      <c r="AF39" s="130">
        <v>68.751000000000005</v>
      </c>
    </row>
    <row r="40" spans="19:32" ht="15">
      <c r="S40" s="122"/>
      <c r="U40" s="122"/>
      <c r="Z40" s="564"/>
      <c r="AA40" s="562"/>
      <c r="AB40" s="562"/>
      <c r="AC40" s="276" t="s">
        <v>766</v>
      </c>
      <c r="AD40" s="129"/>
      <c r="AE40" s="130"/>
      <c r="AF40" s="130"/>
    </row>
    <row r="41" spans="19:32" ht="15">
      <c r="S41" s="122"/>
      <c r="U41" s="122"/>
      <c r="Z41" s="564"/>
      <c r="AA41" s="562"/>
      <c r="AB41" s="562"/>
      <c r="AC41" s="275" t="s">
        <v>340</v>
      </c>
      <c r="AD41" s="129"/>
      <c r="AE41" s="130"/>
      <c r="AF41" s="130"/>
    </row>
    <row r="42" spans="19:32" ht="15">
      <c r="S42" s="122"/>
      <c r="U42" s="122"/>
      <c r="Z42" s="564"/>
      <c r="AA42" s="562"/>
      <c r="AB42" s="562"/>
      <c r="AC42" s="275" t="s">
        <v>341</v>
      </c>
      <c r="AD42" s="129"/>
      <c r="AE42" s="130"/>
      <c r="AF42" s="130">
        <v>649.90800000000002</v>
      </c>
    </row>
    <row r="43" spans="19:32" ht="15">
      <c r="S43" s="122"/>
      <c r="U43" s="122"/>
      <c r="Z43" s="564"/>
      <c r="AA43" s="562"/>
      <c r="AB43" s="562"/>
      <c r="AC43" s="275" t="s">
        <v>342</v>
      </c>
      <c r="AD43" s="129"/>
      <c r="AE43" s="130"/>
      <c r="AF43" s="130">
        <v>26.3</v>
      </c>
    </row>
    <row r="44" spans="19:32" ht="15">
      <c r="S44" s="122"/>
      <c r="U44" s="122"/>
      <c r="Z44" s="564"/>
      <c r="AA44" s="562"/>
      <c r="AB44" s="562"/>
      <c r="AC44" s="276" t="s">
        <v>767</v>
      </c>
      <c r="AD44" s="129"/>
      <c r="AE44" s="130"/>
      <c r="AF44" s="130"/>
    </row>
    <row r="45" spans="19:32" ht="15">
      <c r="S45" s="122"/>
      <c r="U45" s="122"/>
      <c r="Z45" s="564"/>
      <c r="AA45" s="562"/>
      <c r="AB45" s="562"/>
      <c r="AC45" s="275" t="s">
        <v>340</v>
      </c>
      <c r="AD45" s="129"/>
      <c r="AE45" s="130"/>
      <c r="AF45" s="130">
        <v>18.600000000000001</v>
      </c>
    </row>
    <row r="46" spans="19:32" ht="15">
      <c r="S46" s="122"/>
      <c r="U46" s="122"/>
      <c r="Z46" s="564"/>
      <c r="AA46" s="562"/>
      <c r="AB46" s="562"/>
      <c r="AC46" s="276" t="s">
        <v>768</v>
      </c>
      <c r="AD46" s="129"/>
      <c r="AE46" s="130"/>
      <c r="AF46" s="130"/>
    </row>
    <row r="47" spans="19:32" ht="15">
      <c r="S47" s="122"/>
      <c r="U47" s="122"/>
      <c r="Z47" s="564"/>
      <c r="AA47" s="562"/>
      <c r="AB47" s="562"/>
      <c r="AC47" s="275" t="s">
        <v>340</v>
      </c>
      <c r="AD47" s="129"/>
      <c r="AE47" s="130"/>
      <c r="AF47" s="130">
        <v>8.6</v>
      </c>
    </row>
    <row r="48" spans="19:32" ht="15">
      <c r="S48" s="122"/>
      <c r="U48" s="122"/>
      <c r="Z48" s="564"/>
      <c r="AA48" s="562"/>
      <c r="AB48" s="562"/>
      <c r="AC48" s="276" t="s">
        <v>769</v>
      </c>
      <c r="AD48" s="129"/>
      <c r="AE48" s="130"/>
      <c r="AF48" s="130"/>
    </row>
    <row r="49" spans="19:32" ht="15">
      <c r="S49" s="122"/>
      <c r="U49" s="122"/>
      <c r="Z49" s="564"/>
      <c r="AA49" s="562"/>
      <c r="AB49" s="562"/>
      <c r="AC49" s="275" t="s">
        <v>340</v>
      </c>
      <c r="AD49" s="129"/>
      <c r="AE49" s="130"/>
      <c r="AF49" s="130">
        <v>59.911999999999999</v>
      </c>
    </row>
    <row r="50" spans="19:32" ht="15">
      <c r="S50" s="122"/>
      <c r="U50" s="122"/>
      <c r="Z50" s="564"/>
      <c r="AA50" s="562"/>
      <c r="AB50" s="562"/>
      <c r="AC50" s="275" t="s">
        <v>342</v>
      </c>
      <c r="AD50" s="129"/>
      <c r="AE50" s="130"/>
      <c r="AF50" s="130">
        <v>8.8000000000000007</v>
      </c>
    </row>
    <row r="51" spans="19:32" ht="15">
      <c r="S51" s="122"/>
      <c r="U51" s="122"/>
      <c r="Z51" s="564"/>
      <c r="AA51" s="562"/>
      <c r="AB51" s="562"/>
      <c r="AC51" s="276" t="s">
        <v>770</v>
      </c>
      <c r="AD51" s="129"/>
      <c r="AE51" s="130"/>
      <c r="AF51" s="130"/>
    </row>
    <row r="52" spans="19:32" ht="15">
      <c r="S52" s="122"/>
      <c r="U52" s="122"/>
      <c r="Z52" s="564"/>
      <c r="AA52" s="562"/>
      <c r="AB52" s="562"/>
      <c r="AC52" s="275" t="s">
        <v>340</v>
      </c>
      <c r="AD52" s="129"/>
      <c r="AE52" s="130"/>
      <c r="AF52" s="130">
        <v>22.2</v>
      </c>
    </row>
    <row r="53" spans="19:32" ht="15">
      <c r="S53" s="122"/>
      <c r="U53" s="122"/>
      <c r="Z53" s="564"/>
      <c r="AA53" s="562"/>
      <c r="AB53" s="562"/>
      <c r="AC53" s="275" t="s">
        <v>342</v>
      </c>
      <c r="AD53" s="129"/>
      <c r="AE53" s="130"/>
      <c r="AF53" s="130">
        <v>3.331</v>
      </c>
    </row>
    <row r="54" spans="19:32" ht="15">
      <c r="S54" s="122"/>
      <c r="U54" s="122"/>
      <c r="Z54" s="564"/>
      <c r="AA54" s="562"/>
      <c r="AB54" s="562"/>
      <c r="AC54" s="276" t="s">
        <v>771</v>
      </c>
      <c r="AD54" s="129"/>
      <c r="AE54" s="130"/>
      <c r="AF54" s="130"/>
    </row>
    <row r="55" spans="19:32" ht="15">
      <c r="S55" s="122"/>
      <c r="U55" s="122"/>
      <c r="Z55" s="564"/>
      <c r="AA55" s="562"/>
      <c r="AB55" s="562"/>
      <c r="AC55" s="275" t="s">
        <v>340</v>
      </c>
      <c r="AD55" s="129"/>
      <c r="AE55" s="130"/>
      <c r="AF55" s="130">
        <v>31.596</v>
      </c>
    </row>
    <row r="56" spans="19:32" ht="15">
      <c r="S56" s="122"/>
      <c r="U56" s="122"/>
      <c r="Z56" s="548"/>
      <c r="AA56" s="563"/>
      <c r="AB56" s="563"/>
      <c r="AC56" s="275" t="s">
        <v>342</v>
      </c>
      <c r="AD56" s="129"/>
      <c r="AE56" s="130"/>
      <c r="AF56" s="130">
        <v>6.6</v>
      </c>
    </row>
    <row r="57" spans="19:32" ht="15">
      <c r="S57" s="122"/>
      <c r="U57" s="122"/>
    </row>
    <row r="58" spans="19:32" ht="15">
      <c r="S58" s="122"/>
      <c r="U58" s="122"/>
    </row>
    <row r="59" spans="19:32" ht="15">
      <c r="S59" s="122"/>
      <c r="U59" s="122"/>
    </row>
    <row r="60" spans="19:32" ht="15">
      <c r="S60" s="122"/>
      <c r="U60" s="122"/>
    </row>
    <row r="61" spans="19:32" ht="15">
      <c r="S61" s="122"/>
      <c r="U61" s="122"/>
    </row>
    <row r="62" spans="19:32" ht="15">
      <c r="S62" s="122"/>
      <c r="U62" s="122"/>
    </row>
    <row r="63" spans="19:32" ht="15">
      <c r="S63" s="122"/>
      <c r="U63" s="122"/>
    </row>
    <row r="64" spans="19:32" ht="15">
      <c r="S64" s="122"/>
      <c r="U64" s="122"/>
    </row>
    <row r="65" spans="19:21" ht="15">
      <c r="S65" s="122"/>
      <c r="U65" s="122"/>
    </row>
    <row r="66" spans="19:21" ht="15">
      <c r="S66" s="122"/>
      <c r="U66" s="122"/>
    </row>
    <row r="67" spans="19:21" ht="15">
      <c r="S67" s="122"/>
      <c r="U67" s="122"/>
    </row>
    <row r="68" spans="19:21" ht="15">
      <c r="S68" s="122"/>
      <c r="U68" s="122"/>
    </row>
    <row r="69" spans="19:21" ht="15">
      <c r="S69" s="122"/>
      <c r="U69" s="122"/>
    </row>
    <row r="70" spans="19:21" ht="15">
      <c r="S70" s="122"/>
      <c r="U70" s="122"/>
    </row>
    <row r="71" spans="19:21" ht="15">
      <c r="S71" s="122"/>
      <c r="U71" s="122"/>
    </row>
    <row r="95" spans="1:11" ht="18">
      <c r="A95" s="121"/>
      <c r="B95" s="11"/>
      <c r="C95" s="11"/>
      <c r="D95" s="11"/>
      <c r="E95" s="11"/>
      <c r="F95" s="11"/>
      <c r="G95" s="11"/>
      <c r="H95" s="11"/>
      <c r="I95" s="11"/>
      <c r="J95" s="11"/>
      <c r="K95" s="122"/>
    </row>
    <row r="96" spans="1:11" ht="18">
      <c r="A96" s="121"/>
      <c r="B96" s="11"/>
      <c r="C96" s="11"/>
      <c r="D96" s="11"/>
      <c r="E96" s="11"/>
      <c r="F96" s="11"/>
      <c r="G96" s="11"/>
      <c r="H96" s="11"/>
      <c r="I96" s="11"/>
      <c r="J96" s="11"/>
      <c r="K96" s="122"/>
    </row>
    <row r="97" spans="1:11" ht="18">
      <c r="A97" s="121"/>
      <c r="B97" s="11"/>
      <c r="C97" s="11"/>
      <c r="D97" s="11"/>
      <c r="E97" s="11"/>
      <c r="F97" s="11"/>
      <c r="G97" s="11"/>
      <c r="H97" s="11"/>
      <c r="I97" s="11"/>
      <c r="J97" s="11"/>
      <c r="K97" s="122"/>
    </row>
    <row r="98" spans="1:11" ht="18">
      <c r="A98" s="121"/>
      <c r="B98" s="11"/>
      <c r="C98" s="11"/>
      <c r="D98" s="11"/>
      <c r="E98" s="11"/>
      <c r="F98" s="11"/>
      <c r="G98" s="11"/>
      <c r="H98" s="11"/>
      <c r="I98" s="11"/>
      <c r="J98" s="11"/>
      <c r="K98" s="122"/>
    </row>
    <row r="99" spans="1:11" ht="18">
      <c r="A99" s="121"/>
      <c r="B99" s="11"/>
      <c r="C99" s="11"/>
      <c r="D99" s="11"/>
      <c r="E99" s="11"/>
      <c r="F99" s="11"/>
      <c r="G99" s="11"/>
      <c r="H99" s="11"/>
      <c r="I99" s="11"/>
      <c r="J99" s="11"/>
      <c r="K99" s="122"/>
    </row>
  </sheetData>
  <mergeCells count="53">
    <mergeCell ref="Z3:AF3"/>
    <mergeCell ref="AB5:AB14"/>
    <mergeCell ref="Z5:Z33"/>
    <mergeCell ref="Z34:Z56"/>
    <mergeCell ref="AA34:AA56"/>
    <mergeCell ref="AB34:AB56"/>
    <mergeCell ref="AA15:AA33"/>
    <mergeCell ref="AB15:AB33"/>
    <mergeCell ref="AA5:AA14"/>
    <mergeCell ref="H10:K10"/>
    <mergeCell ref="E15:J15"/>
    <mergeCell ref="B10:G10"/>
    <mergeCell ref="W3:W4"/>
    <mergeCell ref="X3:X4"/>
    <mergeCell ref="A2:K3"/>
    <mergeCell ref="B6:G6"/>
    <mergeCell ref="H6:K6"/>
    <mergeCell ref="B8:G8"/>
    <mergeCell ref="H8:K8"/>
    <mergeCell ref="B9:G9"/>
    <mergeCell ref="H9:K9"/>
    <mergeCell ref="B12:G12"/>
    <mergeCell ref="H12:K12"/>
    <mergeCell ref="A15:A16"/>
    <mergeCell ref="B15:B16"/>
    <mergeCell ref="M1:X1"/>
    <mergeCell ref="M5:M6"/>
    <mergeCell ref="V2:V4"/>
    <mergeCell ref="U3:U4"/>
    <mergeCell ref="P2:P4"/>
    <mergeCell ref="Q2:Q4"/>
    <mergeCell ref="R2:R4"/>
    <mergeCell ref="S3:S4"/>
    <mergeCell ref="T3:T4"/>
    <mergeCell ref="M2:M4"/>
    <mergeCell ref="N2:N4"/>
    <mergeCell ref="O2:O4"/>
    <mergeCell ref="C1:K1"/>
    <mergeCell ref="A5:K5"/>
    <mergeCell ref="A1:B1"/>
    <mergeCell ref="B7:G7"/>
    <mergeCell ref="H7:K7"/>
    <mergeCell ref="B11:G11"/>
    <mergeCell ref="H11:K11"/>
    <mergeCell ref="E22:G22"/>
    <mergeCell ref="H22:K22"/>
    <mergeCell ref="E23:G24"/>
    <mergeCell ref="H23:K23"/>
    <mergeCell ref="H24:K24"/>
    <mergeCell ref="C15:C16"/>
    <mergeCell ref="D15:D16"/>
    <mergeCell ref="K15:K16"/>
    <mergeCell ref="A14:K14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6" orientation="landscape" r:id="rId1"/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4F479B-2C0B-45E5-9B80-CBF5DE0FEF7E}">
  <sheetPr>
    <pageSetUpPr fitToPage="1"/>
  </sheetPr>
  <dimension ref="A5:F40"/>
  <sheetViews>
    <sheetView showGridLines="0" zoomScale="70" zoomScaleNormal="70" workbookViewId="0">
      <selection activeCell="A15" sqref="A15"/>
    </sheetView>
  </sheetViews>
  <sheetFormatPr defaultColWidth="9.140625" defaultRowHeight="15"/>
  <cols>
    <col min="1" max="1" width="63.42578125" style="94" customWidth="1"/>
    <col min="2" max="2" width="27.140625" style="94" customWidth="1"/>
    <col min="3" max="3" width="44.140625" style="94" customWidth="1"/>
    <col min="4" max="4" width="79.7109375" style="94" customWidth="1"/>
    <col min="5" max="5" width="22" style="94" customWidth="1"/>
    <col min="6" max="6" width="40.85546875" style="92" customWidth="1"/>
    <col min="7" max="16384" width="9.140625" style="93"/>
  </cols>
  <sheetData>
    <row r="5" spans="1:6" ht="16.5">
      <c r="A5" s="572" t="s">
        <v>495</v>
      </c>
      <c r="B5" s="573"/>
      <c r="C5" s="573"/>
      <c r="D5" s="573"/>
      <c r="E5" s="573"/>
    </row>
    <row r="7" spans="1:6">
      <c r="A7" s="574" t="s">
        <v>496</v>
      </c>
      <c r="B7" s="574"/>
      <c r="C7" s="574"/>
      <c r="D7" s="574"/>
      <c r="E7" s="574"/>
    </row>
    <row r="8" spans="1:6">
      <c r="A8" s="574" t="s">
        <v>497</v>
      </c>
      <c r="B8" s="574"/>
      <c r="C8" s="574"/>
      <c r="D8" s="574"/>
      <c r="E8" s="574"/>
    </row>
    <row r="10" spans="1:6" ht="15.75">
      <c r="A10" s="575"/>
      <c r="B10" s="575"/>
      <c r="C10" s="575"/>
      <c r="D10" s="575"/>
    </row>
    <row r="11" spans="1:6" ht="16.5" thickBot="1">
      <c r="A11" s="95"/>
      <c r="B11" s="95"/>
      <c r="C11" s="95"/>
      <c r="D11" s="95"/>
      <c r="E11" s="95"/>
    </row>
    <row r="12" spans="1:6" ht="39" customHeight="1">
      <c r="A12" s="147" t="s">
        <v>498</v>
      </c>
      <c r="B12" s="148" t="s">
        <v>456</v>
      </c>
      <c r="C12" s="148" t="s">
        <v>499</v>
      </c>
      <c r="D12" s="149" t="s">
        <v>500</v>
      </c>
      <c r="E12" s="148" t="s">
        <v>501</v>
      </c>
      <c r="F12" s="150" t="s">
        <v>502</v>
      </c>
    </row>
    <row r="13" spans="1:6" ht="60" customHeight="1">
      <c r="A13" s="101" t="s">
        <v>459</v>
      </c>
      <c r="B13" s="98" t="s">
        <v>460</v>
      </c>
      <c r="C13" s="99" t="s">
        <v>503</v>
      </c>
      <c r="D13" s="98" t="s">
        <v>504</v>
      </c>
      <c r="E13" s="98" t="s">
        <v>505</v>
      </c>
      <c r="F13" s="96" t="s">
        <v>708</v>
      </c>
    </row>
    <row r="14" spans="1:6" ht="60" customHeight="1">
      <c r="A14" s="101" t="s">
        <v>506</v>
      </c>
      <c r="B14" s="98" t="s">
        <v>507</v>
      </c>
      <c r="C14" s="99" t="s">
        <v>508</v>
      </c>
      <c r="D14" s="98" t="s">
        <v>509</v>
      </c>
      <c r="E14" s="98" t="s">
        <v>510</v>
      </c>
      <c r="F14" s="96" t="s">
        <v>709</v>
      </c>
    </row>
    <row r="15" spans="1:6" ht="60" customHeight="1">
      <c r="A15" s="101" t="s">
        <v>457</v>
      </c>
      <c r="B15" s="98" t="s">
        <v>458</v>
      </c>
      <c r="C15" s="99" t="s">
        <v>511</v>
      </c>
      <c r="D15" s="98" t="s">
        <v>512</v>
      </c>
      <c r="E15" s="98" t="s">
        <v>513</v>
      </c>
      <c r="F15" s="96" t="s">
        <v>710</v>
      </c>
    </row>
    <row r="16" spans="1:6" ht="60" customHeight="1">
      <c r="A16" s="101" t="s">
        <v>463</v>
      </c>
      <c r="B16" s="98" t="s">
        <v>464</v>
      </c>
      <c r="C16" s="99" t="s">
        <v>609</v>
      </c>
      <c r="D16" s="98" t="s">
        <v>514</v>
      </c>
      <c r="E16" s="98" t="s">
        <v>515</v>
      </c>
      <c r="F16" s="96" t="s">
        <v>711</v>
      </c>
    </row>
    <row r="17" spans="1:6" ht="60" customHeight="1">
      <c r="A17" s="101" t="s">
        <v>516</v>
      </c>
      <c r="B17" s="98" t="s">
        <v>517</v>
      </c>
      <c r="C17" s="99" t="s">
        <v>518</v>
      </c>
      <c r="D17" s="98" t="s">
        <v>519</v>
      </c>
      <c r="E17" s="98" t="s">
        <v>520</v>
      </c>
      <c r="F17" s="96" t="s">
        <v>712</v>
      </c>
    </row>
    <row r="18" spans="1:6" ht="60" customHeight="1">
      <c r="A18" s="101" t="s">
        <v>521</v>
      </c>
      <c r="B18" s="98" t="s">
        <v>522</v>
      </c>
      <c r="C18" s="99" t="s">
        <v>610</v>
      </c>
      <c r="D18" s="98" t="s">
        <v>523</v>
      </c>
      <c r="E18" s="98" t="s">
        <v>524</v>
      </c>
      <c r="F18" s="96" t="s">
        <v>713</v>
      </c>
    </row>
    <row r="19" spans="1:6" ht="60" customHeight="1">
      <c r="A19" s="101" t="s">
        <v>525</v>
      </c>
      <c r="B19" s="98" t="s">
        <v>526</v>
      </c>
      <c r="C19" s="99" t="s">
        <v>527</v>
      </c>
      <c r="D19" s="98" t="s">
        <v>528</v>
      </c>
      <c r="E19" s="98" t="s">
        <v>529</v>
      </c>
      <c r="F19" s="96" t="s">
        <v>714</v>
      </c>
    </row>
    <row r="20" spans="1:6" ht="60" customHeight="1">
      <c r="A20" s="101" t="s">
        <v>530</v>
      </c>
      <c r="B20" s="98" t="s">
        <v>531</v>
      </c>
      <c r="C20" s="151" t="s">
        <v>532</v>
      </c>
      <c r="D20" s="98" t="s">
        <v>533</v>
      </c>
      <c r="E20" s="98" t="s">
        <v>611</v>
      </c>
      <c r="F20" s="96" t="s">
        <v>715</v>
      </c>
    </row>
    <row r="21" spans="1:6" ht="60" customHeight="1">
      <c r="A21" s="101" t="s">
        <v>534</v>
      </c>
      <c r="B21" s="98" t="s">
        <v>535</v>
      </c>
      <c r="C21" s="99" t="s">
        <v>536</v>
      </c>
      <c r="D21" s="98" t="s">
        <v>537</v>
      </c>
      <c r="E21" s="98" t="s">
        <v>612</v>
      </c>
      <c r="F21" s="96" t="s">
        <v>716</v>
      </c>
    </row>
    <row r="22" spans="1:6" ht="60" customHeight="1">
      <c r="A22" s="101" t="s">
        <v>538</v>
      </c>
      <c r="B22" s="98" t="s">
        <v>539</v>
      </c>
      <c r="C22" s="99" t="s">
        <v>613</v>
      </c>
      <c r="D22" s="98" t="s">
        <v>540</v>
      </c>
      <c r="E22" s="98" t="s">
        <v>541</v>
      </c>
      <c r="F22" s="96" t="s">
        <v>717</v>
      </c>
    </row>
    <row r="23" spans="1:6" ht="60" customHeight="1">
      <c r="A23" s="101" t="s">
        <v>542</v>
      </c>
      <c r="B23" s="98" t="s">
        <v>543</v>
      </c>
      <c r="C23" s="99" t="s">
        <v>614</v>
      </c>
      <c r="D23" s="98" t="s">
        <v>544</v>
      </c>
      <c r="E23" s="98" t="s">
        <v>545</v>
      </c>
      <c r="F23" s="96" t="s">
        <v>718</v>
      </c>
    </row>
    <row r="24" spans="1:6" ht="60" customHeight="1">
      <c r="A24" s="101" t="s">
        <v>546</v>
      </c>
      <c r="B24" s="98" t="s">
        <v>547</v>
      </c>
      <c r="C24" s="151" t="s">
        <v>548</v>
      </c>
      <c r="D24" s="98" t="s">
        <v>549</v>
      </c>
      <c r="E24" s="98" t="s">
        <v>615</v>
      </c>
      <c r="F24" s="96" t="s">
        <v>719</v>
      </c>
    </row>
    <row r="25" spans="1:6" ht="60" customHeight="1">
      <c r="A25" s="101" t="s">
        <v>550</v>
      </c>
      <c r="B25" s="98" t="s">
        <v>551</v>
      </c>
      <c r="C25" s="151" t="s">
        <v>552</v>
      </c>
      <c r="D25" s="98" t="s">
        <v>553</v>
      </c>
      <c r="E25" s="98" t="s">
        <v>554</v>
      </c>
      <c r="F25" s="96" t="s">
        <v>720</v>
      </c>
    </row>
    <row r="26" spans="1:6" ht="60" customHeight="1">
      <c r="A26" s="101" t="s">
        <v>555</v>
      </c>
      <c r="B26" s="98" t="s">
        <v>556</v>
      </c>
      <c r="C26" s="99" t="s">
        <v>616</v>
      </c>
      <c r="D26" s="98" t="s">
        <v>557</v>
      </c>
      <c r="E26" s="98" t="s">
        <v>558</v>
      </c>
      <c r="F26" s="96" t="s">
        <v>721</v>
      </c>
    </row>
    <row r="27" spans="1:6" ht="60" customHeight="1">
      <c r="A27" s="101" t="s">
        <v>461</v>
      </c>
      <c r="B27" s="98" t="s">
        <v>462</v>
      </c>
      <c r="C27" s="151" t="s">
        <v>617</v>
      </c>
      <c r="D27" s="98" t="s">
        <v>559</v>
      </c>
      <c r="E27" s="98" t="s">
        <v>560</v>
      </c>
      <c r="F27" s="96" t="s">
        <v>722</v>
      </c>
    </row>
    <row r="28" spans="1:6" ht="60" customHeight="1">
      <c r="A28" s="101" t="s">
        <v>561</v>
      </c>
      <c r="B28" s="98" t="s">
        <v>562</v>
      </c>
      <c r="C28" s="99" t="s">
        <v>618</v>
      </c>
      <c r="D28" s="98" t="s">
        <v>563</v>
      </c>
      <c r="E28" s="98" t="s">
        <v>564</v>
      </c>
      <c r="F28" s="96" t="s">
        <v>723</v>
      </c>
    </row>
    <row r="29" spans="1:6" ht="60" customHeight="1">
      <c r="A29" s="221" t="s">
        <v>565</v>
      </c>
      <c r="B29" s="222" t="s">
        <v>566</v>
      </c>
      <c r="C29" s="223" t="s">
        <v>567</v>
      </c>
      <c r="D29" s="222" t="s">
        <v>570</v>
      </c>
      <c r="E29" s="222" t="s">
        <v>568</v>
      </c>
      <c r="F29" s="96" t="s">
        <v>724</v>
      </c>
    </row>
    <row r="30" spans="1:6" ht="60" customHeight="1">
      <c r="A30" s="221" t="s">
        <v>684</v>
      </c>
      <c r="B30" s="222" t="s">
        <v>696</v>
      </c>
      <c r="C30" s="224" t="s">
        <v>686</v>
      </c>
      <c r="D30" s="222" t="s">
        <v>685</v>
      </c>
      <c r="E30" s="222" t="s">
        <v>700</v>
      </c>
      <c r="F30" s="96" t="s">
        <v>704</v>
      </c>
    </row>
    <row r="31" spans="1:6" ht="60" customHeight="1">
      <c r="A31" s="221" t="s">
        <v>687</v>
      </c>
      <c r="B31" s="222" t="s">
        <v>697</v>
      </c>
      <c r="C31" s="223" t="s">
        <v>688</v>
      </c>
      <c r="D31" s="222" t="s">
        <v>689</v>
      </c>
      <c r="E31" s="222" t="s">
        <v>701</v>
      </c>
      <c r="F31" s="96" t="s">
        <v>705</v>
      </c>
    </row>
    <row r="32" spans="1:6" ht="60" customHeight="1">
      <c r="A32" s="221" t="s">
        <v>690</v>
      </c>
      <c r="B32" s="222" t="s">
        <v>698</v>
      </c>
      <c r="C32" s="224" t="s">
        <v>692</v>
      </c>
      <c r="D32" s="222" t="s">
        <v>691</v>
      </c>
      <c r="E32" s="222" t="s">
        <v>702</v>
      </c>
      <c r="F32" s="96" t="s">
        <v>706</v>
      </c>
    </row>
    <row r="33" spans="1:6" ht="60" customHeight="1">
      <c r="A33" s="221" t="s">
        <v>693</v>
      </c>
      <c r="B33" s="222" t="s">
        <v>699</v>
      </c>
      <c r="C33" s="224" t="s">
        <v>694</v>
      </c>
      <c r="D33" s="222" t="s">
        <v>695</v>
      </c>
      <c r="E33" s="222" t="s">
        <v>703</v>
      </c>
      <c r="F33" s="96" t="s">
        <v>707</v>
      </c>
    </row>
    <row r="34" spans="1:6" ht="60" customHeight="1">
      <c r="A34" s="221" t="s">
        <v>738</v>
      </c>
      <c r="B34" s="222" t="s">
        <v>749</v>
      </c>
      <c r="C34" s="224" t="s">
        <v>739</v>
      </c>
      <c r="D34" s="222" t="s">
        <v>740</v>
      </c>
      <c r="E34" s="222" t="s">
        <v>754</v>
      </c>
      <c r="F34" s="251" t="s">
        <v>744</v>
      </c>
    </row>
    <row r="35" spans="1:6" ht="60" customHeight="1">
      <c r="A35" s="221" t="s">
        <v>731</v>
      </c>
      <c r="B35" s="222" t="s">
        <v>750</v>
      </c>
      <c r="C35" s="224" t="s">
        <v>741</v>
      </c>
      <c r="D35" s="222" t="s">
        <v>742</v>
      </c>
      <c r="E35" s="222" t="s">
        <v>753</v>
      </c>
      <c r="F35" s="251" t="s">
        <v>743</v>
      </c>
    </row>
    <row r="36" spans="1:6" ht="60" customHeight="1" thickBot="1">
      <c r="A36" s="102" t="s">
        <v>745</v>
      </c>
      <c r="B36" s="100" t="s">
        <v>751</v>
      </c>
      <c r="C36" s="226" t="s">
        <v>747</v>
      </c>
      <c r="D36" s="100" t="s">
        <v>746</v>
      </c>
      <c r="E36" s="100" t="s">
        <v>752</v>
      </c>
      <c r="F36" s="225" t="s">
        <v>748</v>
      </c>
    </row>
    <row r="37" spans="1:6">
      <c r="C37" s="97"/>
      <c r="D37" s="568" t="s">
        <v>569</v>
      </c>
      <c r="E37" s="569"/>
    </row>
    <row r="38" spans="1:6">
      <c r="C38" s="97"/>
      <c r="D38" s="568"/>
      <c r="E38" s="569"/>
    </row>
    <row r="39" spans="1:6" ht="15.75" thickBot="1">
      <c r="C39" s="97"/>
      <c r="D39" s="570"/>
      <c r="E39" s="571"/>
    </row>
    <row r="40" spans="1:6">
      <c r="C40" s="97"/>
      <c r="D40" s="146"/>
      <c r="E40" s="146"/>
      <c r="F40" s="145"/>
    </row>
  </sheetData>
  <mergeCells count="5">
    <mergeCell ref="D37:E39"/>
    <mergeCell ref="A5:E5"/>
    <mergeCell ref="A7:E7"/>
    <mergeCell ref="A8:E8"/>
    <mergeCell ref="A10:D10"/>
  </mergeCells>
  <hyperlinks>
    <hyperlink ref="C23" r:id="rId1" display="prosul@prosul.com/do@prosul.com" xr:uid="{55B4449A-24D6-41C3-8201-88AED2351750}"/>
    <hyperlink ref="C14" r:id="rId2" display="contato@dynatest.com.br" xr:uid="{6CB5AA15-D70D-458A-9B13-172BAEB607A8}"/>
    <hyperlink ref="C15" r:id="rId3" xr:uid="{3A3BA7F6-1E7A-42DE-A0FB-58225B109EF0}"/>
    <hyperlink ref="C17" r:id="rId4" display="atendimento@srengenharia.net" xr:uid="{529CA6BC-57C8-4D2B-948A-F4FAF611FE62}"/>
    <hyperlink ref="C18" r:id="rId5" display="contato@rrunner.com.br" xr:uid="{71B03957-DA1D-4BBB-9727-C071BC790647}"/>
    <hyperlink ref="C19" r:id="rId6" display="engenharia@copavel.com.br" xr:uid="{7E9B91BF-11E0-40A1-96F9-C6A257AA73F9}"/>
    <hyperlink ref="C20" r:id="rId7" xr:uid="{2B864AA8-A864-4E07-8444-3D2ECCCB8B3C}"/>
    <hyperlink ref="C21" r:id="rId8" display="comercial@planservi.com.br" xr:uid="{02F61020-3D4D-4675-9839-DCDA9B235B6A}"/>
    <hyperlink ref="C22" r:id="rId9" display="contato@engespa.com.br" xr:uid="{4C407244-5246-4BE8-8ABD-A390743D73F6}"/>
    <hyperlink ref="C24" r:id="rId10" xr:uid="{0166603A-8031-4AB1-B920-7CA5D54D5717}"/>
    <hyperlink ref="C25" r:id="rId11" xr:uid="{23DBB5EA-758A-4880-99D5-81BFB8DCD922}"/>
    <hyperlink ref="C26" r:id="rId12" display="contato@magnaeng.com.br" xr:uid="{537E59ED-9229-43B4-BF4E-754A4EC7CB01}"/>
    <hyperlink ref="C27" r:id="rId13" display="ste@stesa.com.br" xr:uid="{966D1671-BF3C-4298-ABD2-4066C04029DB}"/>
    <hyperlink ref="C28" r:id="rId14" display="geral@future.atp.eng.br" xr:uid="{B9937726-DB5A-42E7-B34D-E9E11F6CA5A6}"/>
    <hyperlink ref="C30" r:id="rId15" xr:uid="{99CA368C-5E8D-4417-A68B-8100DDDC9C2B}"/>
    <hyperlink ref="C32" r:id="rId16" xr:uid="{26C54097-F02E-49B2-A57B-9C52FC1CF3D4}"/>
  </hyperlinks>
  <pageMargins left="0.511811024" right="0.511811024" top="0.78740157499999996" bottom="0.78740157499999996" header="0.31496062000000002" footer="0.31496062000000002"/>
  <pageSetup paperSize="9" scale="29" orientation="landscape" r:id="rId17"/>
  <drawing r:id="rId18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E76E97-D1B0-4661-A777-C243B5A62744}">
  <sheetPr>
    <tabColor theme="4" tint="-0.249977111117893"/>
  </sheetPr>
  <dimension ref="A1:P33"/>
  <sheetViews>
    <sheetView showGridLines="0" zoomScale="70" zoomScaleNormal="70" zoomScaleSheetLayoutView="85" zoomScalePageLayoutView="85" workbookViewId="0">
      <selection activeCell="C56" sqref="C56"/>
    </sheetView>
  </sheetViews>
  <sheetFormatPr defaultColWidth="8.7109375" defaultRowHeight="15"/>
  <cols>
    <col min="1" max="1" width="13.140625" style="143" customWidth="1"/>
    <col min="2" max="2" width="9.140625" style="15" bestFit="1" customWidth="1"/>
    <col min="3" max="3" width="78.28515625" style="15" customWidth="1"/>
    <col min="4" max="4" width="22.42578125" style="15" bestFit="1" customWidth="1"/>
    <col min="5" max="5" width="20" style="15" bestFit="1" customWidth="1"/>
    <col min="6" max="13" width="20" style="143" bestFit="1" customWidth="1"/>
    <col min="14" max="14" width="21.5703125" style="143" bestFit="1" customWidth="1"/>
    <col min="15" max="16" width="20" style="143" bestFit="1" customWidth="1"/>
    <col min="17" max="17" width="14.7109375" style="143" customWidth="1"/>
    <col min="18" max="18" width="13.28515625" style="143" customWidth="1"/>
    <col min="19" max="19" width="18.5703125" style="143" customWidth="1"/>
    <col min="20" max="21" width="8.7109375" style="143" customWidth="1"/>
    <col min="22" max="227" width="8.7109375" style="143"/>
    <col min="228" max="228" width="12.7109375" style="143" customWidth="1"/>
    <col min="229" max="229" width="60.28515625" style="143" customWidth="1"/>
    <col min="230" max="231" width="12.7109375" style="143" customWidth="1"/>
    <col min="232" max="232" width="12.28515625" style="143" bestFit="1" customWidth="1"/>
    <col min="233" max="233" width="15.7109375" style="143" customWidth="1"/>
    <col min="234" max="234" width="17.7109375" style="143" bestFit="1" customWidth="1"/>
    <col min="235" max="235" width="8.7109375" style="143"/>
    <col min="236" max="236" width="18" style="143" bestFit="1" customWidth="1"/>
    <col min="237" max="238" width="8.7109375" style="143"/>
    <col min="239" max="239" width="21.7109375" style="143" customWidth="1"/>
    <col min="240" max="240" width="9.42578125" style="143" bestFit="1" customWidth="1"/>
    <col min="241" max="483" width="8.7109375" style="143"/>
    <col min="484" max="484" width="12.7109375" style="143" customWidth="1"/>
    <col min="485" max="485" width="60.28515625" style="143" customWidth="1"/>
    <col min="486" max="487" width="12.7109375" style="143" customWidth="1"/>
    <col min="488" max="488" width="12.28515625" style="143" bestFit="1" customWidth="1"/>
    <col min="489" max="489" width="15.7109375" style="143" customWidth="1"/>
    <col min="490" max="490" width="17.7109375" style="143" bestFit="1" customWidth="1"/>
    <col min="491" max="491" width="8.7109375" style="143"/>
    <col min="492" max="492" width="18" style="143" bestFit="1" customWidth="1"/>
    <col min="493" max="494" width="8.7109375" style="143"/>
    <col min="495" max="495" width="21.7109375" style="143" customWidth="1"/>
    <col min="496" max="496" width="9.42578125" style="143" bestFit="1" customWidth="1"/>
    <col min="497" max="739" width="8.7109375" style="143"/>
    <col min="740" max="740" width="12.7109375" style="143" customWidth="1"/>
    <col min="741" max="741" width="60.28515625" style="143" customWidth="1"/>
    <col min="742" max="743" width="12.7109375" style="143" customWidth="1"/>
    <col min="744" max="744" width="12.28515625" style="143" bestFit="1" customWidth="1"/>
    <col min="745" max="745" width="15.7109375" style="143" customWidth="1"/>
    <col min="746" max="746" width="17.7109375" style="143" bestFit="1" customWidth="1"/>
    <col min="747" max="747" width="8.7109375" style="143"/>
    <col min="748" max="748" width="18" style="143" bestFit="1" customWidth="1"/>
    <col min="749" max="750" width="8.7109375" style="143"/>
    <col min="751" max="751" width="21.7109375" style="143" customWidth="1"/>
    <col min="752" max="752" width="9.42578125" style="143" bestFit="1" customWidth="1"/>
    <col min="753" max="995" width="8.7109375" style="143"/>
    <col min="996" max="996" width="12.7109375" style="143" customWidth="1"/>
    <col min="997" max="997" width="60.28515625" style="143" customWidth="1"/>
    <col min="998" max="999" width="12.7109375" style="143" customWidth="1"/>
    <col min="1000" max="1000" width="12.28515625" style="143" bestFit="1" customWidth="1"/>
    <col min="1001" max="1001" width="15.7109375" style="143" customWidth="1"/>
    <col min="1002" max="1002" width="17.7109375" style="143" bestFit="1" customWidth="1"/>
    <col min="1003" max="1003" width="8.7109375" style="143"/>
    <col min="1004" max="1004" width="18" style="143" bestFit="1" customWidth="1"/>
    <col min="1005" max="1006" width="8.7109375" style="143"/>
    <col min="1007" max="1007" width="21.7109375" style="143" customWidth="1"/>
    <col min="1008" max="1008" width="9.42578125" style="143" bestFit="1" customWidth="1"/>
    <col min="1009" max="1251" width="8.7109375" style="143"/>
    <col min="1252" max="1252" width="12.7109375" style="143" customWidth="1"/>
    <col min="1253" max="1253" width="60.28515625" style="143" customWidth="1"/>
    <col min="1254" max="1255" width="12.7109375" style="143" customWidth="1"/>
    <col min="1256" max="1256" width="12.28515625" style="143" bestFit="1" customWidth="1"/>
    <col min="1257" max="1257" width="15.7109375" style="143" customWidth="1"/>
    <col min="1258" max="1258" width="17.7109375" style="143" bestFit="1" customWidth="1"/>
    <col min="1259" max="1259" width="8.7109375" style="143"/>
    <col min="1260" max="1260" width="18" style="143" bestFit="1" customWidth="1"/>
    <col min="1261" max="1262" width="8.7109375" style="143"/>
    <col min="1263" max="1263" width="21.7109375" style="143" customWidth="1"/>
    <col min="1264" max="1264" width="9.42578125" style="143" bestFit="1" customWidth="1"/>
    <col min="1265" max="1507" width="8.7109375" style="143"/>
    <col min="1508" max="1508" width="12.7109375" style="143" customWidth="1"/>
    <col min="1509" max="1509" width="60.28515625" style="143" customWidth="1"/>
    <col min="1510" max="1511" width="12.7109375" style="143" customWidth="1"/>
    <col min="1512" max="1512" width="12.28515625" style="143" bestFit="1" customWidth="1"/>
    <col min="1513" max="1513" width="15.7109375" style="143" customWidth="1"/>
    <col min="1514" max="1514" width="17.7109375" style="143" bestFit="1" customWidth="1"/>
    <col min="1515" max="1515" width="8.7109375" style="143"/>
    <col min="1516" max="1516" width="18" style="143" bestFit="1" customWidth="1"/>
    <col min="1517" max="1518" width="8.7109375" style="143"/>
    <col min="1519" max="1519" width="21.7109375" style="143" customWidth="1"/>
    <col min="1520" max="1520" width="9.42578125" style="143" bestFit="1" customWidth="1"/>
    <col min="1521" max="1763" width="8.7109375" style="143"/>
    <col min="1764" max="1764" width="12.7109375" style="143" customWidth="1"/>
    <col min="1765" max="1765" width="60.28515625" style="143" customWidth="1"/>
    <col min="1766" max="1767" width="12.7109375" style="143" customWidth="1"/>
    <col min="1768" max="1768" width="12.28515625" style="143" bestFit="1" customWidth="1"/>
    <col min="1769" max="1769" width="15.7109375" style="143" customWidth="1"/>
    <col min="1770" max="1770" width="17.7109375" style="143" bestFit="1" customWidth="1"/>
    <col min="1771" max="1771" width="8.7109375" style="143"/>
    <col min="1772" max="1772" width="18" style="143" bestFit="1" customWidth="1"/>
    <col min="1773" max="1774" width="8.7109375" style="143"/>
    <col min="1775" max="1775" width="21.7109375" style="143" customWidth="1"/>
    <col min="1776" max="1776" width="9.42578125" style="143" bestFit="1" customWidth="1"/>
    <col min="1777" max="2019" width="8.7109375" style="143"/>
    <col min="2020" max="2020" width="12.7109375" style="143" customWidth="1"/>
    <col min="2021" max="2021" width="60.28515625" style="143" customWidth="1"/>
    <col min="2022" max="2023" width="12.7109375" style="143" customWidth="1"/>
    <col min="2024" max="2024" width="12.28515625" style="143" bestFit="1" customWidth="1"/>
    <col min="2025" max="2025" width="15.7109375" style="143" customWidth="1"/>
    <col min="2026" max="2026" width="17.7109375" style="143" bestFit="1" customWidth="1"/>
    <col min="2027" max="2027" width="8.7109375" style="143"/>
    <col min="2028" max="2028" width="18" style="143" bestFit="1" customWidth="1"/>
    <col min="2029" max="2030" width="8.7109375" style="143"/>
    <col min="2031" max="2031" width="21.7109375" style="143" customWidth="1"/>
    <col min="2032" max="2032" width="9.42578125" style="143" bestFit="1" customWidth="1"/>
    <col min="2033" max="2275" width="8.7109375" style="143"/>
    <col min="2276" max="2276" width="12.7109375" style="143" customWidth="1"/>
    <col min="2277" max="2277" width="60.28515625" style="143" customWidth="1"/>
    <col min="2278" max="2279" width="12.7109375" style="143" customWidth="1"/>
    <col min="2280" max="2280" width="12.28515625" style="143" bestFit="1" customWidth="1"/>
    <col min="2281" max="2281" width="15.7109375" style="143" customWidth="1"/>
    <col min="2282" max="2282" width="17.7109375" style="143" bestFit="1" customWidth="1"/>
    <col min="2283" max="2283" width="8.7109375" style="143"/>
    <col min="2284" max="2284" width="18" style="143" bestFit="1" customWidth="1"/>
    <col min="2285" max="2286" width="8.7109375" style="143"/>
    <col min="2287" max="2287" width="21.7109375" style="143" customWidth="1"/>
    <col min="2288" max="2288" width="9.42578125" style="143" bestFit="1" customWidth="1"/>
    <col min="2289" max="2531" width="8.7109375" style="143"/>
    <col min="2532" max="2532" width="12.7109375" style="143" customWidth="1"/>
    <col min="2533" max="2533" width="60.28515625" style="143" customWidth="1"/>
    <col min="2534" max="2535" width="12.7109375" style="143" customWidth="1"/>
    <col min="2536" max="2536" width="12.28515625" style="143" bestFit="1" customWidth="1"/>
    <col min="2537" max="2537" width="15.7109375" style="143" customWidth="1"/>
    <col min="2538" max="2538" width="17.7109375" style="143" bestFit="1" customWidth="1"/>
    <col min="2539" max="2539" width="8.7109375" style="143"/>
    <col min="2540" max="2540" width="18" style="143" bestFit="1" customWidth="1"/>
    <col min="2541" max="2542" width="8.7109375" style="143"/>
    <col min="2543" max="2543" width="21.7109375" style="143" customWidth="1"/>
    <col min="2544" max="2544" width="9.42578125" style="143" bestFit="1" customWidth="1"/>
    <col min="2545" max="2787" width="8.7109375" style="143"/>
    <col min="2788" max="2788" width="12.7109375" style="143" customWidth="1"/>
    <col min="2789" max="2789" width="60.28515625" style="143" customWidth="1"/>
    <col min="2790" max="2791" width="12.7109375" style="143" customWidth="1"/>
    <col min="2792" max="2792" width="12.28515625" style="143" bestFit="1" customWidth="1"/>
    <col min="2793" max="2793" width="15.7109375" style="143" customWidth="1"/>
    <col min="2794" max="2794" width="17.7109375" style="143" bestFit="1" customWidth="1"/>
    <col min="2795" max="2795" width="8.7109375" style="143"/>
    <col min="2796" max="2796" width="18" style="143" bestFit="1" customWidth="1"/>
    <col min="2797" max="2798" width="8.7109375" style="143"/>
    <col min="2799" max="2799" width="21.7109375" style="143" customWidth="1"/>
    <col min="2800" max="2800" width="9.42578125" style="143" bestFit="1" customWidth="1"/>
    <col min="2801" max="3043" width="8.7109375" style="143"/>
    <col min="3044" max="3044" width="12.7109375" style="143" customWidth="1"/>
    <col min="3045" max="3045" width="60.28515625" style="143" customWidth="1"/>
    <col min="3046" max="3047" width="12.7109375" style="143" customWidth="1"/>
    <col min="3048" max="3048" width="12.28515625" style="143" bestFit="1" customWidth="1"/>
    <col min="3049" max="3049" width="15.7109375" style="143" customWidth="1"/>
    <col min="3050" max="3050" width="17.7109375" style="143" bestFit="1" customWidth="1"/>
    <col min="3051" max="3051" width="8.7109375" style="143"/>
    <col min="3052" max="3052" width="18" style="143" bestFit="1" customWidth="1"/>
    <col min="3053" max="3054" width="8.7109375" style="143"/>
    <col min="3055" max="3055" width="21.7109375" style="143" customWidth="1"/>
    <col min="3056" max="3056" width="9.42578125" style="143" bestFit="1" customWidth="1"/>
    <col min="3057" max="3299" width="8.7109375" style="143"/>
    <col min="3300" max="3300" width="12.7109375" style="143" customWidth="1"/>
    <col min="3301" max="3301" width="60.28515625" style="143" customWidth="1"/>
    <col min="3302" max="3303" width="12.7109375" style="143" customWidth="1"/>
    <col min="3304" max="3304" width="12.28515625" style="143" bestFit="1" customWidth="1"/>
    <col min="3305" max="3305" width="15.7109375" style="143" customWidth="1"/>
    <col min="3306" max="3306" width="17.7109375" style="143" bestFit="1" customWidth="1"/>
    <col min="3307" max="3307" width="8.7109375" style="143"/>
    <col min="3308" max="3308" width="18" style="143" bestFit="1" customWidth="1"/>
    <col min="3309" max="3310" width="8.7109375" style="143"/>
    <col min="3311" max="3311" width="21.7109375" style="143" customWidth="1"/>
    <col min="3312" max="3312" width="9.42578125" style="143" bestFit="1" customWidth="1"/>
    <col min="3313" max="3555" width="8.7109375" style="143"/>
    <col min="3556" max="3556" width="12.7109375" style="143" customWidth="1"/>
    <col min="3557" max="3557" width="60.28515625" style="143" customWidth="1"/>
    <col min="3558" max="3559" width="12.7109375" style="143" customWidth="1"/>
    <col min="3560" max="3560" width="12.28515625" style="143" bestFit="1" customWidth="1"/>
    <col min="3561" max="3561" width="15.7109375" style="143" customWidth="1"/>
    <col min="3562" max="3562" width="17.7109375" style="143" bestFit="1" customWidth="1"/>
    <col min="3563" max="3563" width="8.7109375" style="143"/>
    <col min="3564" max="3564" width="18" style="143" bestFit="1" customWidth="1"/>
    <col min="3565" max="3566" width="8.7109375" style="143"/>
    <col min="3567" max="3567" width="21.7109375" style="143" customWidth="1"/>
    <col min="3568" max="3568" width="9.42578125" style="143" bestFit="1" customWidth="1"/>
    <col min="3569" max="3811" width="8.7109375" style="143"/>
    <col min="3812" max="3812" width="12.7109375" style="143" customWidth="1"/>
    <col min="3813" max="3813" width="60.28515625" style="143" customWidth="1"/>
    <col min="3814" max="3815" width="12.7109375" style="143" customWidth="1"/>
    <col min="3816" max="3816" width="12.28515625" style="143" bestFit="1" customWidth="1"/>
    <col min="3817" max="3817" width="15.7109375" style="143" customWidth="1"/>
    <col min="3818" max="3818" width="17.7109375" style="143" bestFit="1" customWidth="1"/>
    <col min="3819" max="3819" width="8.7109375" style="143"/>
    <col min="3820" max="3820" width="18" style="143" bestFit="1" customWidth="1"/>
    <col min="3821" max="3822" width="8.7109375" style="143"/>
    <col min="3823" max="3823" width="21.7109375" style="143" customWidth="1"/>
    <col min="3824" max="3824" width="9.42578125" style="143" bestFit="1" customWidth="1"/>
    <col min="3825" max="4067" width="8.7109375" style="143"/>
    <col min="4068" max="4068" width="12.7109375" style="143" customWidth="1"/>
    <col min="4069" max="4069" width="60.28515625" style="143" customWidth="1"/>
    <col min="4070" max="4071" width="12.7109375" style="143" customWidth="1"/>
    <col min="4072" max="4072" width="12.28515625" style="143" bestFit="1" customWidth="1"/>
    <col min="4073" max="4073" width="15.7109375" style="143" customWidth="1"/>
    <col min="4074" max="4074" width="17.7109375" style="143" bestFit="1" customWidth="1"/>
    <col min="4075" max="4075" width="8.7109375" style="143"/>
    <col min="4076" max="4076" width="18" style="143" bestFit="1" customWidth="1"/>
    <col min="4077" max="4078" width="8.7109375" style="143"/>
    <col min="4079" max="4079" width="21.7109375" style="143" customWidth="1"/>
    <col min="4080" max="4080" width="9.42578125" style="143" bestFit="1" customWidth="1"/>
    <col min="4081" max="4323" width="8.7109375" style="143"/>
    <col min="4324" max="4324" width="12.7109375" style="143" customWidth="1"/>
    <col min="4325" max="4325" width="60.28515625" style="143" customWidth="1"/>
    <col min="4326" max="4327" width="12.7109375" style="143" customWidth="1"/>
    <col min="4328" max="4328" width="12.28515625" style="143" bestFit="1" customWidth="1"/>
    <col min="4329" max="4329" width="15.7109375" style="143" customWidth="1"/>
    <col min="4330" max="4330" width="17.7109375" style="143" bestFit="1" customWidth="1"/>
    <col min="4331" max="4331" width="8.7109375" style="143"/>
    <col min="4332" max="4332" width="18" style="143" bestFit="1" customWidth="1"/>
    <col min="4333" max="4334" width="8.7109375" style="143"/>
    <col min="4335" max="4335" width="21.7109375" style="143" customWidth="1"/>
    <col min="4336" max="4336" width="9.42578125" style="143" bestFit="1" customWidth="1"/>
    <col min="4337" max="4579" width="8.7109375" style="143"/>
    <col min="4580" max="4580" width="12.7109375" style="143" customWidth="1"/>
    <col min="4581" max="4581" width="60.28515625" style="143" customWidth="1"/>
    <col min="4582" max="4583" width="12.7109375" style="143" customWidth="1"/>
    <col min="4584" max="4584" width="12.28515625" style="143" bestFit="1" customWidth="1"/>
    <col min="4585" max="4585" width="15.7109375" style="143" customWidth="1"/>
    <col min="4586" max="4586" width="17.7109375" style="143" bestFit="1" customWidth="1"/>
    <col min="4587" max="4587" width="8.7109375" style="143"/>
    <col min="4588" max="4588" width="18" style="143" bestFit="1" customWidth="1"/>
    <col min="4589" max="4590" width="8.7109375" style="143"/>
    <col min="4591" max="4591" width="21.7109375" style="143" customWidth="1"/>
    <col min="4592" max="4592" width="9.42578125" style="143" bestFit="1" customWidth="1"/>
    <col min="4593" max="4835" width="8.7109375" style="143"/>
    <col min="4836" max="4836" width="12.7109375" style="143" customWidth="1"/>
    <col min="4837" max="4837" width="60.28515625" style="143" customWidth="1"/>
    <col min="4838" max="4839" width="12.7109375" style="143" customWidth="1"/>
    <col min="4840" max="4840" width="12.28515625" style="143" bestFit="1" customWidth="1"/>
    <col min="4841" max="4841" width="15.7109375" style="143" customWidth="1"/>
    <col min="4842" max="4842" width="17.7109375" style="143" bestFit="1" customWidth="1"/>
    <col min="4843" max="4843" width="8.7109375" style="143"/>
    <col min="4844" max="4844" width="18" style="143" bestFit="1" customWidth="1"/>
    <col min="4845" max="4846" width="8.7109375" style="143"/>
    <col min="4847" max="4847" width="21.7109375" style="143" customWidth="1"/>
    <col min="4848" max="4848" width="9.42578125" style="143" bestFit="1" customWidth="1"/>
    <col min="4849" max="5091" width="8.7109375" style="143"/>
    <col min="5092" max="5092" width="12.7109375" style="143" customWidth="1"/>
    <col min="5093" max="5093" width="60.28515625" style="143" customWidth="1"/>
    <col min="5094" max="5095" width="12.7109375" style="143" customWidth="1"/>
    <col min="5096" max="5096" width="12.28515625" style="143" bestFit="1" customWidth="1"/>
    <col min="5097" max="5097" width="15.7109375" style="143" customWidth="1"/>
    <col min="5098" max="5098" width="17.7109375" style="143" bestFit="1" customWidth="1"/>
    <col min="5099" max="5099" width="8.7109375" style="143"/>
    <col min="5100" max="5100" width="18" style="143" bestFit="1" customWidth="1"/>
    <col min="5101" max="5102" width="8.7109375" style="143"/>
    <col min="5103" max="5103" width="21.7109375" style="143" customWidth="1"/>
    <col min="5104" max="5104" width="9.42578125" style="143" bestFit="1" customWidth="1"/>
    <col min="5105" max="5347" width="8.7109375" style="143"/>
    <col min="5348" max="5348" width="12.7109375" style="143" customWidth="1"/>
    <col min="5349" max="5349" width="60.28515625" style="143" customWidth="1"/>
    <col min="5350" max="5351" width="12.7109375" style="143" customWidth="1"/>
    <col min="5352" max="5352" width="12.28515625" style="143" bestFit="1" customWidth="1"/>
    <col min="5353" max="5353" width="15.7109375" style="143" customWidth="1"/>
    <col min="5354" max="5354" width="17.7109375" style="143" bestFit="1" customWidth="1"/>
    <col min="5355" max="5355" width="8.7109375" style="143"/>
    <col min="5356" max="5356" width="18" style="143" bestFit="1" customWidth="1"/>
    <col min="5357" max="5358" width="8.7109375" style="143"/>
    <col min="5359" max="5359" width="21.7109375" style="143" customWidth="1"/>
    <col min="5360" max="5360" width="9.42578125" style="143" bestFit="1" customWidth="1"/>
    <col min="5361" max="5603" width="8.7109375" style="143"/>
    <col min="5604" max="5604" width="12.7109375" style="143" customWidth="1"/>
    <col min="5605" max="5605" width="60.28515625" style="143" customWidth="1"/>
    <col min="5606" max="5607" width="12.7109375" style="143" customWidth="1"/>
    <col min="5608" max="5608" width="12.28515625" style="143" bestFit="1" customWidth="1"/>
    <col min="5609" max="5609" width="15.7109375" style="143" customWidth="1"/>
    <col min="5610" max="5610" width="17.7109375" style="143" bestFit="1" customWidth="1"/>
    <col min="5611" max="5611" width="8.7109375" style="143"/>
    <col min="5612" max="5612" width="18" style="143" bestFit="1" customWidth="1"/>
    <col min="5613" max="5614" width="8.7109375" style="143"/>
    <col min="5615" max="5615" width="21.7109375" style="143" customWidth="1"/>
    <col min="5616" max="5616" width="9.42578125" style="143" bestFit="1" customWidth="1"/>
    <col min="5617" max="5859" width="8.7109375" style="143"/>
    <col min="5860" max="5860" width="12.7109375" style="143" customWidth="1"/>
    <col min="5861" max="5861" width="60.28515625" style="143" customWidth="1"/>
    <col min="5862" max="5863" width="12.7109375" style="143" customWidth="1"/>
    <col min="5864" max="5864" width="12.28515625" style="143" bestFit="1" customWidth="1"/>
    <col min="5865" max="5865" width="15.7109375" style="143" customWidth="1"/>
    <col min="5866" max="5866" width="17.7109375" style="143" bestFit="1" customWidth="1"/>
    <col min="5867" max="5867" width="8.7109375" style="143"/>
    <col min="5868" max="5868" width="18" style="143" bestFit="1" customWidth="1"/>
    <col min="5869" max="5870" width="8.7109375" style="143"/>
    <col min="5871" max="5871" width="21.7109375" style="143" customWidth="1"/>
    <col min="5872" max="5872" width="9.42578125" style="143" bestFit="1" customWidth="1"/>
    <col min="5873" max="6115" width="8.7109375" style="143"/>
    <col min="6116" max="6116" width="12.7109375" style="143" customWidth="1"/>
    <col min="6117" max="6117" width="60.28515625" style="143" customWidth="1"/>
    <col min="6118" max="6119" width="12.7109375" style="143" customWidth="1"/>
    <col min="6120" max="6120" width="12.28515625" style="143" bestFit="1" customWidth="1"/>
    <col min="6121" max="6121" width="15.7109375" style="143" customWidth="1"/>
    <col min="6122" max="6122" width="17.7109375" style="143" bestFit="1" customWidth="1"/>
    <col min="6123" max="6123" width="8.7109375" style="143"/>
    <col min="6124" max="6124" width="18" style="143" bestFit="1" customWidth="1"/>
    <col min="6125" max="6126" width="8.7109375" style="143"/>
    <col min="6127" max="6127" width="21.7109375" style="143" customWidth="1"/>
    <col min="6128" max="6128" width="9.42578125" style="143" bestFit="1" customWidth="1"/>
    <col min="6129" max="6371" width="8.7109375" style="143"/>
    <col min="6372" max="6372" width="12.7109375" style="143" customWidth="1"/>
    <col min="6373" max="6373" width="60.28515625" style="143" customWidth="1"/>
    <col min="6374" max="6375" width="12.7109375" style="143" customWidth="1"/>
    <col min="6376" max="6376" width="12.28515625" style="143" bestFit="1" customWidth="1"/>
    <col min="6377" max="6377" width="15.7109375" style="143" customWidth="1"/>
    <col min="6378" max="6378" width="17.7109375" style="143" bestFit="1" customWidth="1"/>
    <col min="6379" max="6379" width="8.7109375" style="143"/>
    <col min="6380" max="6380" width="18" style="143" bestFit="1" customWidth="1"/>
    <col min="6381" max="6382" width="8.7109375" style="143"/>
    <col min="6383" max="6383" width="21.7109375" style="143" customWidth="1"/>
    <col min="6384" max="6384" width="9.42578125" style="143" bestFit="1" customWidth="1"/>
    <col min="6385" max="6627" width="8.7109375" style="143"/>
    <col min="6628" max="6628" width="12.7109375" style="143" customWidth="1"/>
    <col min="6629" max="6629" width="60.28515625" style="143" customWidth="1"/>
    <col min="6630" max="6631" width="12.7109375" style="143" customWidth="1"/>
    <col min="6632" max="6632" width="12.28515625" style="143" bestFit="1" customWidth="1"/>
    <col min="6633" max="6633" width="15.7109375" style="143" customWidth="1"/>
    <col min="6634" max="6634" width="17.7109375" style="143" bestFit="1" customWidth="1"/>
    <col min="6635" max="6635" width="8.7109375" style="143"/>
    <col min="6636" max="6636" width="18" style="143" bestFit="1" customWidth="1"/>
    <col min="6637" max="6638" width="8.7109375" style="143"/>
    <col min="6639" max="6639" width="21.7109375" style="143" customWidth="1"/>
    <col min="6640" max="6640" width="9.42578125" style="143" bestFit="1" customWidth="1"/>
    <col min="6641" max="6883" width="8.7109375" style="143"/>
    <col min="6884" max="6884" width="12.7109375" style="143" customWidth="1"/>
    <col min="6885" max="6885" width="60.28515625" style="143" customWidth="1"/>
    <col min="6886" max="6887" width="12.7109375" style="143" customWidth="1"/>
    <col min="6888" max="6888" width="12.28515625" style="143" bestFit="1" customWidth="1"/>
    <col min="6889" max="6889" width="15.7109375" style="143" customWidth="1"/>
    <col min="6890" max="6890" width="17.7109375" style="143" bestFit="1" customWidth="1"/>
    <col min="6891" max="6891" width="8.7109375" style="143"/>
    <col min="6892" max="6892" width="18" style="143" bestFit="1" customWidth="1"/>
    <col min="6893" max="6894" width="8.7109375" style="143"/>
    <col min="6895" max="6895" width="21.7109375" style="143" customWidth="1"/>
    <col min="6896" max="6896" width="9.42578125" style="143" bestFit="1" customWidth="1"/>
    <col min="6897" max="7139" width="8.7109375" style="143"/>
    <col min="7140" max="7140" width="12.7109375" style="143" customWidth="1"/>
    <col min="7141" max="7141" width="60.28515625" style="143" customWidth="1"/>
    <col min="7142" max="7143" width="12.7109375" style="143" customWidth="1"/>
    <col min="7144" max="7144" width="12.28515625" style="143" bestFit="1" customWidth="1"/>
    <col min="7145" max="7145" width="15.7109375" style="143" customWidth="1"/>
    <col min="7146" max="7146" width="17.7109375" style="143" bestFit="1" customWidth="1"/>
    <col min="7147" max="7147" width="8.7109375" style="143"/>
    <col min="7148" max="7148" width="18" style="143" bestFit="1" customWidth="1"/>
    <col min="7149" max="7150" width="8.7109375" style="143"/>
    <col min="7151" max="7151" width="21.7109375" style="143" customWidth="1"/>
    <col min="7152" max="7152" width="9.42578125" style="143" bestFit="1" customWidth="1"/>
    <col min="7153" max="7395" width="8.7109375" style="143"/>
    <col min="7396" max="7396" width="12.7109375" style="143" customWidth="1"/>
    <col min="7397" max="7397" width="60.28515625" style="143" customWidth="1"/>
    <col min="7398" max="7399" width="12.7109375" style="143" customWidth="1"/>
    <col min="7400" max="7400" width="12.28515625" style="143" bestFit="1" customWidth="1"/>
    <col min="7401" max="7401" width="15.7109375" style="143" customWidth="1"/>
    <col min="7402" max="7402" width="17.7109375" style="143" bestFit="1" customWidth="1"/>
    <col min="7403" max="7403" width="8.7109375" style="143"/>
    <col min="7404" max="7404" width="18" style="143" bestFit="1" customWidth="1"/>
    <col min="7405" max="7406" width="8.7109375" style="143"/>
    <col min="7407" max="7407" width="21.7109375" style="143" customWidth="1"/>
    <col min="7408" max="7408" width="9.42578125" style="143" bestFit="1" customWidth="1"/>
    <col min="7409" max="7651" width="8.7109375" style="143"/>
    <col min="7652" max="7652" width="12.7109375" style="143" customWidth="1"/>
    <col min="7653" max="7653" width="60.28515625" style="143" customWidth="1"/>
    <col min="7654" max="7655" width="12.7109375" style="143" customWidth="1"/>
    <col min="7656" max="7656" width="12.28515625" style="143" bestFit="1" customWidth="1"/>
    <col min="7657" max="7657" width="15.7109375" style="143" customWidth="1"/>
    <col min="7658" max="7658" width="17.7109375" style="143" bestFit="1" customWidth="1"/>
    <col min="7659" max="7659" width="8.7109375" style="143"/>
    <col min="7660" max="7660" width="18" style="143" bestFit="1" customWidth="1"/>
    <col min="7661" max="7662" width="8.7109375" style="143"/>
    <col min="7663" max="7663" width="21.7109375" style="143" customWidth="1"/>
    <col min="7664" max="7664" width="9.42578125" style="143" bestFit="1" customWidth="1"/>
    <col min="7665" max="7907" width="8.7109375" style="143"/>
    <col min="7908" max="7908" width="12.7109375" style="143" customWidth="1"/>
    <col min="7909" max="7909" width="60.28515625" style="143" customWidth="1"/>
    <col min="7910" max="7911" width="12.7109375" style="143" customWidth="1"/>
    <col min="7912" max="7912" width="12.28515625" style="143" bestFit="1" customWidth="1"/>
    <col min="7913" max="7913" width="15.7109375" style="143" customWidth="1"/>
    <col min="7914" max="7914" width="17.7109375" style="143" bestFit="1" customWidth="1"/>
    <col min="7915" max="7915" width="8.7109375" style="143"/>
    <col min="7916" max="7916" width="18" style="143" bestFit="1" customWidth="1"/>
    <col min="7917" max="7918" width="8.7109375" style="143"/>
    <col min="7919" max="7919" width="21.7109375" style="143" customWidth="1"/>
    <col min="7920" max="7920" width="9.42578125" style="143" bestFit="1" customWidth="1"/>
    <col min="7921" max="8163" width="8.7109375" style="143"/>
    <col min="8164" max="8164" width="12.7109375" style="143" customWidth="1"/>
    <col min="8165" max="8165" width="60.28515625" style="143" customWidth="1"/>
    <col min="8166" max="8167" width="12.7109375" style="143" customWidth="1"/>
    <col min="8168" max="8168" width="12.28515625" style="143" bestFit="1" customWidth="1"/>
    <col min="8169" max="8169" width="15.7109375" style="143" customWidth="1"/>
    <col min="8170" max="8170" width="17.7109375" style="143" bestFit="1" customWidth="1"/>
    <col min="8171" max="8171" width="8.7109375" style="143"/>
    <col min="8172" max="8172" width="18" style="143" bestFit="1" customWidth="1"/>
    <col min="8173" max="8174" width="8.7109375" style="143"/>
    <col min="8175" max="8175" width="21.7109375" style="143" customWidth="1"/>
    <col min="8176" max="8176" width="9.42578125" style="143" bestFit="1" customWidth="1"/>
    <col min="8177" max="8419" width="8.7109375" style="143"/>
    <col min="8420" max="8420" width="12.7109375" style="143" customWidth="1"/>
    <col min="8421" max="8421" width="60.28515625" style="143" customWidth="1"/>
    <col min="8422" max="8423" width="12.7109375" style="143" customWidth="1"/>
    <col min="8424" max="8424" width="12.28515625" style="143" bestFit="1" customWidth="1"/>
    <col min="8425" max="8425" width="15.7109375" style="143" customWidth="1"/>
    <col min="8426" max="8426" width="17.7109375" style="143" bestFit="1" customWidth="1"/>
    <col min="8427" max="8427" width="8.7109375" style="143"/>
    <col min="8428" max="8428" width="18" style="143" bestFit="1" customWidth="1"/>
    <col min="8429" max="8430" width="8.7109375" style="143"/>
    <col min="8431" max="8431" width="21.7109375" style="143" customWidth="1"/>
    <col min="8432" max="8432" width="9.42578125" style="143" bestFit="1" customWidth="1"/>
    <col min="8433" max="8675" width="8.7109375" style="143"/>
    <col min="8676" max="8676" width="12.7109375" style="143" customWidth="1"/>
    <col min="8677" max="8677" width="60.28515625" style="143" customWidth="1"/>
    <col min="8678" max="8679" width="12.7109375" style="143" customWidth="1"/>
    <col min="8680" max="8680" width="12.28515625" style="143" bestFit="1" customWidth="1"/>
    <col min="8681" max="8681" width="15.7109375" style="143" customWidth="1"/>
    <col min="8682" max="8682" width="17.7109375" style="143" bestFit="1" customWidth="1"/>
    <col min="8683" max="8683" width="8.7109375" style="143"/>
    <col min="8684" max="8684" width="18" style="143" bestFit="1" customWidth="1"/>
    <col min="8685" max="8686" width="8.7109375" style="143"/>
    <col min="8687" max="8687" width="21.7109375" style="143" customWidth="1"/>
    <col min="8688" max="8688" width="9.42578125" style="143" bestFit="1" customWidth="1"/>
    <col min="8689" max="8931" width="8.7109375" style="143"/>
    <col min="8932" max="8932" width="12.7109375" style="143" customWidth="1"/>
    <col min="8933" max="8933" width="60.28515625" style="143" customWidth="1"/>
    <col min="8934" max="8935" width="12.7109375" style="143" customWidth="1"/>
    <col min="8936" max="8936" width="12.28515625" style="143" bestFit="1" customWidth="1"/>
    <col min="8937" max="8937" width="15.7109375" style="143" customWidth="1"/>
    <col min="8938" max="8938" width="17.7109375" style="143" bestFit="1" customWidth="1"/>
    <col min="8939" max="8939" width="8.7109375" style="143"/>
    <col min="8940" max="8940" width="18" style="143" bestFit="1" customWidth="1"/>
    <col min="8941" max="8942" width="8.7109375" style="143"/>
    <col min="8943" max="8943" width="21.7109375" style="143" customWidth="1"/>
    <col min="8944" max="8944" width="9.42578125" style="143" bestFit="1" customWidth="1"/>
    <col min="8945" max="9187" width="8.7109375" style="143"/>
    <col min="9188" max="9188" width="12.7109375" style="143" customWidth="1"/>
    <col min="9189" max="9189" width="60.28515625" style="143" customWidth="1"/>
    <col min="9190" max="9191" width="12.7109375" style="143" customWidth="1"/>
    <col min="9192" max="9192" width="12.28515625" style="143" bestFit="1" customWidth="1"/>
    <col min="9193" max="9193" width="15.7109375" style="143" customWidth="1"/>
    <col min="9194" max="9194" width="17.7109375" style="143" bestFit="1" customWidth="1"/>
    <col min="9195" max="9195" width="8.7109375" style="143"/>
    <col min="9196" max="9196" width="18" style="143" bestFit="1" customWidth="1"/>
    <col min="9197" max="9198" width="8.7109375" style="143"/>
    <col min="9199" max="9199" width="21.7109375" style="143" customWidth="1"/>
    <col min="9200" max="9200" width="9.42578125" style="143" bestFit="1" customWidth="1"/>
    <col min="9201" max="9443" width="8.7109375" style="143"/>
    <col min="9444" max="9444" width="12.7109375" style="143" customWidth="1"/>
    <col min="9445" max="9445" width="60.28515625" style="143" customWidth="1"/>
    <col min="9446" max="9447" width="12.7109375" style="143" customWidth="1"/>
    <col min="9448" max="9448" width="12.28515625" style="143" bestFit="1" customWidth="1"/>
    <col min="9449" max="9449" width="15.7109375" style="143" customWidth="1"/>
    <col min="9450" max="9450" width="17.7109375" style="143" bestFit="1" customWidth="1"/>
    <col min="9451" max="9451" width="8.7109375" style="143"/>
    <col min="9452" max="9452" width="18" style="143" bestFit="1" customWidth="1"/>
    <col min="9453" max="9454" width="8.7109375" style="143"/>
    <col min="9455" max="9455" width="21.7109375" style="143" customWidth="1"/>
    <col min="9456" max="9456" width="9.42578125" style="143" bestFit="1" customWidth="1"/>
    <col min="9457" max="9699" width="8.7109375" style="143"/>
    <col min="9700" max="9700" width="12.7109375" style="143" customWidth="1"/>
    <col min="9701" max="9701" width="60.28515625" style="143" customWidth="1"/>
    <col min="9702" max="9703" width="12.7109375" style="143" customWidth="1"/>
    <col min="9704" max="9704" width="12.28515625" style="143" bestFit="1" customWidth="1"/>
    <col min="9705" max="9705" width="15.7109375" style="143" customWidth="1"/>
    <col min="9706" max="9706" width="17.7109375" style="143" bestFit="1" customWidth="1"/>
    <col min="9707" max="9707" width="8.7109375" style="143"/>
    <col min="9708" max="9708" width="18" style="143" bestFit="1" customWidth="1"/>
    <col min="9709" max="9710" width="8.7109375" style="143"/>
    <col min="9711" max="9711" width="21.7109375" style="143" customWidth="1"/>
    <col min="9712" max="9712" width="9.42578125" style="143" bestFit="1" customWidth="1"/>
    <col min="9713" max="9955" width="8.7109375" style="143"/>
    <col min="9956" max="9956" width="12.7109375" style="143" customWidth="1"/>
    <col min="9957" max="9957" width="60.28515625" style="143" customWidth="1"/>
    <col min="9958" max="9959" width="12.7109375" style="143" customWidth="1"/>
    <col min="9960" max="9960" width="12.28515625" style="143" bestFit="1" customWidth="1"/>
    <col min="9961" max="9961" width="15.7109375" style="143" customWidth="1"/>
    <col min="9962" max="9962" width="17.7109375" style="143" bestFit="1" customWidth="1"/>
    <col min="9963" max="9963" width="8.7109375" style="143"/>
    <col min="9964" max="9964" width="18" style="143" bestFit="1" customWidth="1"/>
    <col min="9965" max="9966" width="8.7109375" style="143"/>
    <col min="9967" max="9967" width="21.7109375" style="143" customWidth="1"/>
    <col min="9968" max="9968" width="9.42578125" style="143" bestFit="1" customWidth="1"/>
    <col min="9969" max="10211" width="8.7109375" style="143"/>
    <col min="10212" max="10212" width="12.7109375" style="143" customWidth="1"/>
    <col min="10213" max="10213" width="60.28515625" style="143" customWidth="1"/>
    <col min="10214" max="10215" width="12.7109375" style="143" customWidth="1"/>
    <col min="10216" max="10216" width="12.28515625" style="143" bestFit="1" customWidth="1"/>
    <col min="10217" max="10217" width="15.7109375" style="143" customWidth="1"/>
    <col min="10218" max="10218" width="17.7109375" style="143" bestFit="1" customWidth="1"/>
    <col min="10219" max="10219" width="8.7109375" style="143"/>
    <col min="10220" max="10220" width="18" style="143" bestFit="1" customWidth="1"/>
    <col min="10221" max="10222" width="8.7109375" style="143"/>
    <col min="10223" max="10223" width="21.7109375" style="143" customWidth="1"/>
    <col min="10224" max="10224" width="9.42578125" style="143" bestFit="1" customWidth="1"/>
    <col min="10225" max="10467" width="8.7109375" style="143"/>
    <col min="10468" max="10468" width="12.7109375" style="143" customWidth="1"/>
    <col min="10469" max="10469" width="60.28515625" style="143" customWidth="1"/>
    <col min="10470" max="10471" width="12.7109375" style="143" customWidth="1"/>
    <col min="10472" max="10472" width="12.28515625" style="143" bestFit="1" customWidth="1"/>
    <col min="10473" max="10473" width="15.7109375" style="143" customWidth="1"/>
    <col min="10474" max="10474" width="17.7109375" style="143" bestFit="1" customWidth="1"/>
    <col min="10475" max="10475" width="8.7109375" style="143"/>
    <col min="10476" max="10476" width="18" style="143" bestFit="1" customWidth="1"/>
    <col min="10477" max="10478" width="8.7109375" style="143"/>
    <col min="10479" max="10479" width="21.7109375" style="143" customWidth="1"/>
    <col min="10480" max="10480" width="9.42578125" style="143" bestFit="1" customWidth="1"/>
    <col min="10481" max="10723" width="8.7109375" style="143"/>
    <col min="10724" max="10724" width="12.7109375" style="143" customWidth="1"/>
    <col min="10725" max="10725" width="60.28515625" style="143" customWidth="1"/>
    <col min="10726" max="10727" width="12.7109375" style="143" customWidth="1"/>
    <col min="10728" max="10728" width="12.28515625" style="143" bestFit="1" customWidth="1"/>
    <col min="10729" max="10729" width="15.7109375" style="143" customWidth="1"/>
    <col min="10730" max="10730" width="17.7109375" style="143" bestFit="1" customWidth="1"/>
    <col min="10731" max="10731" width="8.7109375" style="143"/>
    <col min="10732" max="10732" width="18" style="143" bestFit="1" customWidth="1"/>
    <col min="10733" max="10734" width="8.7109375" style="143"/>
    <col min="10735" max="10735" width="21.7109375" style="143" customWidth="1"/>
    <col min="10736" max="10736" width="9.42578125" style="143" bestFit="1" customWidth="1"/>
    <col min="10737" max="10979" width="8.7109375" style="143"/>
    <col min="10980" max="10980" width="12.7109375" style="143" customWidth="1"/>
    <col min="10981" max="10981" width="60.28515625" style="143" customWidth="1"/>
    <col min="10982" max="10983" width="12.7109375" style="143" customWidth="1"/>
    <col min="10984" max="10984" width="12.28515625" style="143" bestFit="1" customWidth="1"/>
    <col min="10985" max="10985" width="15.7109375" style="143" customWidth="1"/>
    <col min="10986" max="10986" width="17.7109375" style="143" bestFit="1" customWidth="1"/>
    <col min="10987" max="10987" width="8.7109375" style="143"/>
    <col min="10988" max="10988" width="18" style="143" bestFit="1" customWidth="1"/>
    <col min="10989" max="10990" width="8.7109375" style="143"/>
    <col min="10991" max="10991" width="21.7109375" style="143" customWidth="1"/>
    <col min="10992" max="10992" width="9.42578125" style="143" bestFit="1" customWidth="1"/>
    <col min="10993" max="11235" width="8.7109375" style="143"/>
    <col min="11236" max="11236" width="12.7109375" style="143" customWidth="1"/>
    <col min="11237" max="11237" width="60.28515625" style="143" customWidth="1"/>
    <col min="11238" max="11239" width="12.7109375" style="143" customWidth="1"/>
    <col min="11240" max="11240" width="12.28515625" style="143" bestFit="1" customWidth="1"/>
    <col min="11241" max="11241" width="15.7109375" style="143" customWidth="1"/>
    <col min="11242" max="11242" width="17.7109375" style="143" bestFit="1" customWidth="1"/>
    <col min="11243" max="11243" width="8.7109375" style="143"/>
    <col min="11244" max="11244" width="18" style="143" bestFit="1" customWidth="1"/>
    <col min="11245" max="11246" width="8.7109375" style="143"/>
    <col min="11247" max="11247" width="21.7109375" style="143" customWidth="1"/>
    <col min="11248" max="11248" width="9.42578125" style="143" bestFit="1" customWidth="1"/>
    <col min="11249" max="11491" width="8.7109375" style="143"/>
    <col min="11492" max="11492" width="12.7109375" style="143" customWidth="1"/>
    <col min="11493" max="11493" width="60.28515625" style="143" customWidth="1"/>
    <col min="11494" max="11495" width="12.7109375" style="143" customWidth="1"/>
    <col min="11496" max="11496" width="12.28515625" style="143" bestFit="1" customWidth="1"/>
    <col min="11497" max="11497" width="15.7109375" style="143" customWidth="1"/>
    <col min="11498" max="11498" width="17.7109375" style="143" bestFit="1" customWidth="1"/>
    <col min="11499" max="11499" width="8.7109375" style="143"/>
    <col min="11500" max="11500" width="18" style="143" bestFit="1" customWidth="1"/>
    <col min="11501" max="11502" width="8.7109375" style="143"/>
    <col min="11503" max="11503" width="21.7109375" style="143" customWidth="1"/>
    <col min="11504" max="11504" width="9.42578125" style="143" bestFit="1" customWidth="1"/>
    <col min="11505" max="11747" width="8.7109375" style="143"/>
    <col min="11748" max="11748" width="12.7109375" style="143" customWidth="1"/>
    <col min="11749" max="11749" width="60.28515625" style="143" customWidth="1"/>
    <col min="11750" max="11751" width="12.7109375" style="143" customWidth="1"/>
    <col min="11752" max="11752" width="12.28515625" style="143" bestFit="1" customWidth="1"/>
    <col min="11753" max="11753" width="15.7109375" style="143" customWidth="1"/>
    <col min="11754" max="11754" width="17.7109375" style="143" bestFit="1" customWidth="1"/>
    <col min="11755" max="11755" width="8.7109375" style="143"/>
    <col min="11756" max="11756" width="18" style="143" bestFit="1" customWidth="1"/>
    <col min="11757" max="11758" width="8.7109375" style="143"/>
    <col min="11759" max="11759" width="21.7109375" style="143" customWidth="1"/>
    <col min="11760" max="11760" width="9.42578125" style="143" bestFit="1" customWidth="1"/>
    <col min="11761" max="12003" width="8.7109375" style="143"/>
    <col min="12004" max="12004" width="12.7109375" style="143" customWidth="1"/>
    <col min="12005" max="12005" width="60.28515625" style="143" customWidth="1"/>
    <col min="12006" max="12007" width="12.7109375" style="143" customWidth="1"/>
    <col min="12008" max="12008" width="12.28515625" style="143" bestFit="1" customWidth="1"/>
    <col min="12009" max="12009" width="15.7109375" style="143" customWidth="1"/>
    <col min="12010" max="12010" width="17.7109375" style="143" bestFit="1" customWidth="1"/>
    <col min="12011" max="12011" width="8.7109375" style="143"/>
    <col min="12012" max="12012" width="18" style="143" bestFit="1" customWidth="1"/>
    <col min="12013" max="12014" width="8.7109375" style="143"/>
    <col min="12015" max="12015" width="21.7109375" style="143" customWidth="1"/>
    <col min="12016" max="12016" width="9.42578125" style="143" bestFit="1" customWidth="1"/>
    <col min="12017" max="12259" width="8.7109375" style="143"/>
    <col min="12260" max="12260" width="12.7109375" style="143" customWidth="1"/>
    <col min="12261" max="12261" width="60.28515625" style="143" customWidth="1"/>
    <col min="12262" max="12263" width="12.7109375" style="143" customWidth="1"/>
    <col min="12264" max="12264" width="12.28515625" style="143" bestFit="1" customWidth="1"/>
    <col min="12265" max="12265" width="15.7109375" style="143" customWidth="1"/>
    <col min="12266" max="12266" width="17.7109375" style="143" bestFit="1" customWidth="1"/>
    <col min="12267" max="12267" width="8.7109375" style="143"/>
    <col min="12268" max="12268" width="18" style="143" bestFit="1" customWidth="1"/>
    <col min="12269" max="12270" width="8.7109375" style="143"/>
    <col min="12271" max="12271" width="21.7109375" style="143" customWidth="1"/>
    <col min="12272" max="12272" width="9.42578125" style="143" bestFit="1" customWidth="1"/>
    <col min="12273" max="12515" width="8.7109375" style="143"/>
    <col min="12516" max="12516" width="12.7109375" style="143" customWidth="1"/>
    <col min="12517" max="12517" width="60.28515625" style="143" customWidth="1"/>
    <col min="12518" max="12519" width="12.7109375" style="143" customWidth="1"/>
    <col min="12520" max="12520" width="12.28515625" style="143" bestFit="1" customWidth="1"/>
    <col min="12521" max="12521" width="15.7109375" style="143" customWidth="1"/>
    <col min="12522" max="12522" width="17.7109375" style="143" bestFit="1" customWidth="1"/>
    <col min="12523" max="12523" width="8.7109375" style="143"/>
    <col min="12524" max="12524" width="18" style="143" bestFit="1" customWidth="1"/>
    <col min="12525" max="12526" width="8.7109375" style="143"/>
    <col min="12527" max="12527" width="21.7109375" style="143" customWidth="1"/>
    <col min="12528" max="12528" width="9.42578125" style="143" bestFit="1" customWidth="1"/>
    <col min="12529" max="12771" width="8.7109375" style="143"/>
    <col min="12772" max="12772" width="12.7109375" style="143" customWidth="1"/>
    <col min="12773" max="12773" width="60.28515625" style="143" customWidth="1"/>
    <col min="12774" max="12775" width="12.7109375" style="143" customWidth="1"/>
    <col min="12776" max="12776" width="12.28515625" style="143" bestFit="1" customWidth="1"/>
    <col min="12777" max="12777" width="15.7109375" style="143" customWidth="1"/>
    <col min="12778" max="12778" width="17.7109375" style="143" bestFit="1" customWidth="1"/>
    <col min="12779" max="12779" width="8.7109375" style="143"/>
    <col min="12780" max="12780" width="18" style="143" bestFit="1" customWidth="1"/>
    <col min="12781" max="12782" width="8.7109375" style="143"/>
    <col min="12783" max="12783" width="21.7109375" style="143" customWidth="1"/>
    <col min="12784" max="12784" width="9.42578125" style="143" bestFit="1" customWidth="1"/>
    <col min="12785" max="13027" width="8.7109375" style="143"/>
    <col min="13028" max="13028" width="12.7109375" style="143" customWidth="1"/>
    <col min="13029" max="13029" width="60.28515625" style="143" customWidth="1"/>
    <col min="13030" max="13031" width="12.7109375" style="143" customWidth="1"/>
    <col min="13032" max="13032" width="12.28515625" style="143" bestFit="1" customWidth="1"/>
    <col min="13033" max="13033" width="15.7109375" style="143" customWidth="1"/>
    <col min="13034" max="13034" width="17.7109375" style="143" bestFit="1" customWidth="1"/>
    <col min="13035" max="13035" width="8.7109375" style="143"/>
    <col min="13036" max="13036" width="18" style="143" bestFit="1" customWidth="1"/>
    <col min="13037" max="13038" width="8.7109375" style="143"/>
    <col min="13039" max="13039" width="21.7109375" style="143" customWidth="1"/>
    <col min="13040" max="13040" width="9.42578125" style="143" bestFit="1" customWidth="1"/>
    <col min="13041" max="13283" width="8.7109375" style="143"/>
    <col min="13284" max="13284" width="12.7109375" style="143" customWidth="1"/>
    <col min="13285" max="13285" width="60.28515625" style="143" customWidth="1"/>
    <col min="13286" max="13287" width="12.7109375" style="143" customWidth="1"/>
    <col min="13288" max="13288" width="12.28515625" style="143" bestFit="1" customWidth="1"/>
    <col min="13289" max="13289" width="15.7109375" style="143" customWidth="1"/>
    <col min="13290" max="13290" width="17.7109375" style="143" bestFit="1" customWidth="1"/>
    <col min="13291" max="13291" width="8.7109375" style="143"/>
    <col min="13292" max="13292" width="18" style="143" bestFit="1" customWidth="1"/>
    <col min="13293" max="13294" width="8.7109375" style="143"/>
    <col min="13295" max="13295" width="21.7109375" style="143" customWidth="1"/>
    <col min="13296" max="13296" width="9.42578125" style="143" bestFit="1" customWidth="1"/>
    <col min="13297" max="13539" width="8.7109375" style="143"/>
    <col min="13540" max="13540" width="12.7109375" style="143" customWidth="1"/>
    <col min="13541" max="13541" width="60.28515625" style="143" customWidth="1"/>
    <col min="13542" max="13543" width="12.7109375" style="143" customWidth="1"/>
    <col min="13544" max="13544" width="12.28515625" style="143" bestFit="1" customWidth="1"/>
    <col min="13545" max="13545" width="15.7109375" style="143" customWidth="1"/>
    <col min="13546" max="13546" width="17.7109375" style="143" bestFit="1" customWidth="1"/>
    <col min="13547" max="13547" width="8.7109375" style="143"/>
    <col min="13548" max="13548" width="18" style="143" bestFit="1" customWidth="1"/>
    <col min="13549" max="13550" width="8.7109375" style="143"/>
    <col min="13551" max="13551" width="21.7109375" style="143" customWidth="1"/>
    <col min="13552" max="13552" width="9.42578125" style="143" bestFit="1" customWidth="1"/>
    <col min="13553" max="13795" width="8.7109375" style="143"/>
    <col min="13796" max="13796" width="12.7109375" style="143" customWidth="1"/>
    <col min="13797" max="13797" width="60.28515625" style="143" customWidth="1"/>
    <col min="13798" max="13799" width="12.7109375" style="143" customWidth="1"/>
    <col min="13800" max="13800" width="12.28515625" style="143" bestFit="1" customWidth="1"/>
    <col min="13801" max="13801" width="15.7109375" style="143" customWidth="1"/>
    <col min="13802" max="13802" width="17.7109375" style="143" bestFit="1" customWidth="1"/>
    <col min="13803" max="13803" width="8.7109375" style="143"/>
    <col min="13804" max="13804" width="18" style="143" bestFit="1" customWidth="1"/>
    <col min="13805" max="13806" width="8.7109375" style="143"/>
    <col min="13807" max="13807" width="21.7109375" style="143" customWidth="1"/>
    <col min="13808" max="13808" width="9.42578125" style="143" bestFit="1" customWidth="1"/>
    <col min="13809" max="14051" width="8.7109375" style="143"/>
    <col min="14052" max="14052" width="12.7109375" style="143" customWidth="1"/>
    <col min="14053" max="14053" width="60.28515625" style="143" customWidth="1"/>
    <col min="14054" max="14055" width="12.7109375" style="143" customWidth="1"/>
    <col min="14056" max="14056" width="12.28515625" style="143" bestFit="1" customWidth="1"/>
    <col min="14057" max="14057" width="15.7109375" style="143" customWidth="1"/>
    <col min="14058" max="14058" width="17.7109375" style="143" bestFit="1" customWidth="1"/>
    <col min="14059" max="14059" width="8.7109375" style="143"/>
    <col min="14060" max="14060" width="18" style="143" bestFit="1" customWidth="1"/>
    <col min="14061" max="14062" width="8.7109375" style="143"/>
    <col min="14063" max="14063" width="21.7109375" style="143" customWidth="1"/>
    <col min="14064" max="14064" width="9.42578125" style="143" bestFit="1" customWidth="1"/>
    <col min="14065" max="14307" width="8.7109375" style="143"/>
    <col min="14308" max="14308" width="12.7109375" style="143" customWidth="1"/>
    <col min="14309" max="14309" width="60.28515625" style="143" customWidth="1"/>
    <col min="14310" max="14311" width="12.7109375" style="143" customWidth="1"/>
    <col min="14312" max="14312" width="12.28515625" style="143" bestFit="1" customWidth="1"/>
    <col min="14313" max="14313" width="15.7109375" style="143" customWidth="1"/>
    <col min="14314" max="14314" width="17.7109375" style="143" bestFit="1" customWidth="1"/>
    <col min="14315" max="14315" width="8.7109375" style="143"/>
    <col min="14316" max="14316" width="18" style="143" bestFit="1" customWidth="1"/>
    <col min="14317" max="14318" width="8.7109375" style="143"/>
    <col min="14319" max="14319" width="21.7109375" style="143" customWidth="1"/>
    <col min="14320" max="14320" width="9.42578125" style="143" bestFit="1" customWidth="1"/>
    <col min="14321" max="14563" width="8.7109375" style="143"/>
    <col min="14564" max="14564" width="12.7109375" style="143" customWidth="1"/>
    <col min="14565" max="14565" width="60.28515625" style="143" customWidth="1"/>
    <col min="14566" max="14567" width="12.7109375" style="143" customWidth="1"/>
    <col min="14568" max="14568" width="12.28515625" style="143" bestFit="1" customWidth="1"/>
    <col min="14569" max="14569" width="15.7109375" style="143" customWidth="1"/>
    <col min="14570" max="14570" width="17.7109375" style="143" bestFit="1" customWidth="1"/>
    <col min="14571" max="14571" width="8.7109375" style="143"/>
    <col min="14572" max="14572" width="18" style="143" bestFit="1" customWidth="1"/>
    <col min="14573" max="14574" width="8.7109375" style="143"/>
    <col min="14575" max="14575" width="21.7109375" style="143" customWidth="1"/>
    <col min="14576" max="14576" width="9.42578125" style="143" bestFit="1" customWidth="1"/>
    <col min="14577" max="14819" width="8.7109375" style="143"/>
    <col min="14820" max="14820" width="12.7109375" style="143" customWidth="1"/>
    <col min="14821" max="14821" width="60.28515625" style="143" customWidth="1"/>
    <col min="14822" max="14823" width="12.7109375" style="143" customWidth="1"/>
    <col min="14824" max="14824" width="12.28515625" style="143" bestFit="1" customWidth="1"/>
    <col min="14825" max="14825" width="15.7109375" style="143" customWidth="1"/>
    <col min="14826" max="14826" width="17.7109375" style="143" bestFit="1" customWidth="1"/>
    <col min="14827" max="14827" width="8.7109375" style="143"/>
    <col min="14828" max="14828" width="18" style="143" bestFit="1" customWidth="1"/>
    <col min="14829" max="14830" width="8.7109375" style="143"/>
    <col min="14831" max="14831" width="21.7109375" style="143" customWidth="1"/>
    <col min="14832" max="14832" width="9.42578125" style="143" bestFit="1" customWidth="1"/>
    <col min="14833" max="15075" width="8.7109375" style="143"/>
    <col min="15076" max="15076" width="12.7109375" style="143" customWidth="1"/>
    <col min="15077" max="15077" width="60.28515625" style="143" customWidth="1"/>
    <col min="15078" max="15079" width="12.7109375" style="143" customWidth="1"/>
    <col min="15080" max="15080" width="12.28515625" style="143" bestFit="1" customWidth="1"/>
    <col min="15081" max="15081" width="15.7109375" style="143" customWidth="1"/>
    <col min="15082" max="15082" width="17.7109375" style="143" bestFit="1" customWidth="1"/>
    <col min="15083" max="15083" width="8.7109375" style="143"/>
    <col min="15084" max="15084" width="18" style="143" bestFit="1" customWidth="1"/>
    <col min="15085" max="15086" width="8.7109375" style="143"/>
    <col min="15087" max="15087" width="21.7109375" style="143" customWidth="1"/>
    <col min="15088" max="15088" width="9.42578125" style="143" bestFit="1" customWidth="1"/>
    <col min="15089" max="15331" width="8.7109375" style="143"/>
    <col min="15332" max="15332" width="12.7109375" style="143" customWidth="1"/>
    <col min="15333" max="15333" width="60.28515625" style="143" customWidth="1"/>
    <col min="15334" max="15335" width="12.7109375" style="143" customWidth="1"/>
    <col min="15336" max="15336" width="12.28515625" style="143" bestFit="1" customWidth="1"/>
    <col min="15337" max="15337" width="15.7109375" style="143" customWidth="1"/>
    <col min="15338" max="15338" width="17.7109375" style="143" bestFit="1" customWidth="1"/>
    <col min="15339" max="15339" width="8.7109375" style="143"/>
    <col min="15340" max="15340" width="18" style="143" bestFit="1" customWidth="1"/>
    <col min="15341" max="15342" width="8.7109375" style="143"/>
    <col min="15343" max="15343" width="21.7109375" style="143" customWidth="1"/>
    <col min="15344" max="15344" width="9.42578125" style="143" bestFit="1" customWidth="1"/>
    <col min="15345" max="15587" width="8.7109375" style="143"/>
    <col min="15588" max="15588" width="12.7109375" style="143" customWidth="1"/>
    <col min="15589" max="15589" width="60.28515625" style="143" customWidth="1"/>
    <col min="15590" max="15591" width="12.7109375" style="143" customWidth="1"/>
    <col min="15592" max="15592" width="12.28515625" style="143" bestFit="1" customWidth="1"/>
    <col min="15593" max="15593" width="15.7109375" style="143" customWidth="1"/>
    <col min="15594" max="15594" width="17.7109375" style="143" bestFit="1" customWidth="1"/>
    <col min="15595" max="15595" width="8.7109375" style="143"/>
    <col min="15596" max="15596" width="18" style="143" bestFit="1" customWidth="1"/>
    <col min="15597" max="15598" width="8.7109375" style="143"/>
    <col min="15599" max="15599" width="21.7109375" style="143" customWidth="1"/>
    <col min="15600" max="15600" width="9.42578125" style="143" bestFit="1" customWidth="1"/>
    <col min="15601" max="15843" width="8.7109375" style="143"/>
    <col min="15844" max="15844" width="12.7109375" style="143" customWidth="1"/>
    <col min="15845" max="15845" width="60.28515625" style="143" customWidth="1"/>
    <col min="15846" max="15847" width="12.7109375" style="143" customWidth="1"/>
    <col min="15848" max="15848" width="12.28515625" style="143" bestFit="1" customWidth="1"/>
    <col min="15849" max="15849" width="15.7109375" style="143" customWidth="1"/>
    <col min="15850" max="15850" width="17.7109375" style="143" bestFit="1" customWidth="1"/>
    <col min="15851" max="15851" width="8.7109375" style="143"/>
    <col min="15852" max="15852" width="18" style="143" bestFit="1" customWidth="1"/>
    <col min="15853" max="15854" width="8.7109375" style="143"/>
    <col min="15855" max="15855" width="21.7109375" style="143" customWidth="1"/>
    <col min="15856" max="15856" width="9.42578125" style="143" bestFit="1" customWidth="1"/>
    <col min="15857" max="16099" width="8.7109375" style="143"/>
    <col min="16100" max="16100" width="12.7109375" style="143" customWidth="1"/>
    <col min="16101" max="16101" width="60.28515625" style="143" customWidth="1"/>
    <col min="16102" max="16103" width="12.7109375" style="143" customWidth="1"/>
    <col min="16104" max="16104" width="12.28515625" style="143" bestFit="1" customWidth="1"/>
    <col min="16105" max="16105" width="15.7109375" style="143" customWidth="1"/>
    <col min="16106" max="16106" width="17.7109375" style="143" bestFit="1" customWidth="1"/>
    <col min="16107" max="16107" width="8.7109375" style="143"/>
    <col min="16108" max="16108" width="18" style="143" bestFit="1" customWidth="1"/>
    <col min="16109" max="16110" width="8.7109375" style="143"/>
    <col min="16111" max="16111" width="21.7109375" style="143" customWidth="1"/>
    <col min="16112" max="16112" width="9.42578125" style="143" bestFit="1" customWidth="1"/>
    <col min="16113" max="16384" width="8.7109375" style="143"/>
  </cols>
  <sheetData>
    <row r="1" spans="1:16" ht="99" customHeight="1">
      <c r="A1" s="317" t="s">
        <v>677</v>
      </c>
      <c r="B1" s="318"/>
      <c r="C1" s="318"/>
      <c r="D1" s="318"/>
      <c r="E1" s="318"/>
      <c r="F1" s="318"/>
      <c r="G1" s="318"/>
      <c r="H1" s="318"/>
      <c r="I1" s="318"/>
      <c r="J1" s="318"/>
      <c r="K1" s="319"/>
      <c r="L1" s="185" t="s">
        <v>674</v>
      </c>
      <c r="M1" s="305" t="s">
        <v>676</v>
      </c>
      <c r="N1" s="305"/>
      <c r="O1" s="328">
        <f>'Mapa de Cotação - FWD, IRI, LVC'!$Q$5+'Mapa de Cotação - FWD, IRI, LVC'!$Q$6</f>
        <v>1202.8</v>
      </c>
      <c r="P1" s="329"/>
    </row>
    <row r="2" spans="1:16" ht="63" customHeight="1" thickBot="1">
      <c r="A2" s="320"/>
      <c r="B2" s="321"/>
      <c r="C2" s="321"/>
      <c r="D2" s="321"/>
      <c r="E2" s="321"/>
      <c r="F2" s="321"/>
      <c r="G2" s="321"/>
      <c r="H2" s="321"/>
      <c r="I2" s="321"/>
      <c r="J2" s="321"/>
      <c r="K2" s="322"/>
      <c r="L2" s="186" t="s">
        <v>675</v>
      </c>
      <c r="M2" s="306" t="s">
        <v>671</v>
      </c>
      <c r="N2" s="306"/>
      <c r="O2" s="330">
        <f>'Mapa de Cotação - FWD, IRI, LVC'!$Q$7</f>
        <v>680.6</v>
      </c>
      <c r="P2" s="331"/>
    </row>
    <row r="3" spans="1:16" ht="31.5" customHeight="1" thickBot="1">
      <c r="A3" s="170" t="s">
        <v>357</v>
      </c>
      <c r="B3" s="180" t="s">
        <v>358</v>
      </c>
      <c r="C3" s="180"/>
      <c r="D3" s="171"/>
      <c r="E3" s="171"/>
      <c r="F3" s="171"/>
      <c r="G3" s="171"/>
      <c r="H3" s="171"/>
      <c r="I3" s="172"/>
      <c r="J3" s="181"/>
      <c r="K3" s="181"/>
      <c r="L3" s="181"/>
      <c r="M3" s="181"/>
      <c r="N3" s="182"/>
      <c r="O3" s="183"/>
      <c r="P3" s="184"/>
    </row>
    <row r="4" spans="1:16" ht="31.5" customHeight="1">
      <c r="B4" s="173"/>
      <c r="C4" s="174"/>
      <c r="D4" s="175"/>
      <c r="E4" s="175"/>
      <c r="F4" s="175"/>
      <c r="G4" s="175"/>
      <c r="H4" s="175"/>
      <c r="I4" s="176"/>
      <c r="J4" s="177"/>
      <c r="K4" s="177"/>
      <c r="L4" s="177"/>
      <c r="M4" s="177"/>
      <c r="N4" s="178"/>
      <c r="O4" s="179"/>
      <c r="P4" s="179"/>
    </row>
    <row r="5" spans="1:16" ht="30" customHeight="1">
      <c r="A5" s="323" t="s">
        <v>606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</row>
    <row r="6" spans="1:16" ht="27" customHeight="1">
      <c r="A6" s="324" t="s">
        <v>325</v>
      </c>
      <c r="B6" s="324" t="s">
        <v>604</v>
      </c>
      <c r="C6" s="325" t="s">
        <v>680</v>
      </c>
      <c r="D6" s="326" t="s">
        <v>678</v>
      </c>
      <c r="E6" s="327" t="s">
        <v>607</v>
      </c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</row>
    <row r="7" spans="1:16" ht="27" customHeight="1">
      <c r="A7" s="324"/>
      <c r="B7" s="324"/>
      <c r="C7" s="325"/>
      <c r="D7" s="326"/>
      <c r="E7" s="159" t="s">
        <v>359</v>
      </c>
      <c r="F7" s="159" t="s">
        <v>360</v>
      </c>
      <c r="G7" s="159" t="s">
        <v>361</v>
      </c>
      <c r="H7" s="159" t="s">
        <v>362</v>
      </c>
      <c r="I7" s="159" t="s">
        <v>363</v>
      </c>
      <c r="J7" s="159" t="s">
        <v>364</v>
      </c>
      <c r="K7" s="159" t="s">
        <v>365</v>
      </c>
      <c r="L7" s="159" t="s">
        <v>366</v>
      </c>
      <c r="M7" s="159" t="s">
        <v>367</v>
      </c>
      <c r="N7" s="159" t="s">
        <v>368</v>
      </c>
      <c r="O7" s="159" t="s">
        <v>369</v>
      </c>
      <c r="P7" s="159" t="s">
        <v>370</v>
      </c>
    </row>
    <row r="8" spans="1:16" ht="33.75" customHeight="1">
      <c r="A8" s="316" t="s">
        <v>673</v>
      </c>
      <c r="B8" s="216" t="str">
        <f>Principal!$B$7</f>
        <v>1.1</v>
      </c>
      <c r="C8" s="188" t="s">
        <v>602</v>
      </c>
      <c r="D8" s="189">
        <f>Principal!G7</f>
        <v>84434.880350335065</v>
      </c>
      <c r="E8" s="169">
        <f>$D$8*Cronograma_Fisico!E8</f>
        <v>0</v>
      </c>
      <c r="F8" s="169">
        <f>$D$8*Cronograma_Fisico!F8</f>
        <v>21108.720087583766</v>
      </c>
      <c r="G8" s="169">
        <f>$D$8*Cronograma_Fisico!G8</f>
        <v>0</v>
      </c>
      <c r="H8" s="169">
        <f>$D$8*Cronograma_Fisico!H8</f>
        <v>0</v>
      </c>
      <c r="I8" s="169">
        <f>$D$8*Cronograma_Fisico!I8</f>
        <v>21108.720087583766</v>
      </c>
      <c r="J8" s="169">
        <f>$D$8*Cronograma_Fisico!J8</f>
        <v>0</v>
      </c>
      <c r="K8" s="169">
        <f>$D$8*Cronograma_Fisico!K8</f>
        <v>0</v>
      </c>
      <c r="L8" s="169">
        <f>$D$8*Cronograma_Fisico!L8</f>
        <v>21108.720087583766</v>
      </c>
      <c r="M8" s="169">
        <f>$D$8*Cronograma_Fisico!M8</f>
        <v>0</v>
      </c>
      <c r="N8" s="169">
        <f>$D$8*Cronograma_Fisico!N8</f>
        <v>0</v>
      </c>
      <c r="O8" s="169">
        <f>$D$8*Cronograma_Fisico!O8</f>
        <v>21108.720087583766</v>
      </c>
      <c r="P8" s="169">
        <f>$D$8*Cronograma_Fisico!P8</f>
        <v>0</v>
      </c>
    </row>
    <row r="9" spans="1:16" ht="33.75" customHeight="1">
      <c r="A9" s="316"/>
      <c r="B9" s="216" t="str">
        <f>Principal!$B$8</f>
        <v>1.2</v>
      </c>
      <c r="C9" s="188" t="s">
        <v>603</v>
      </c>
      <c r="D9" s="189">
        <f>Principal!G8</f>
        <v>84434.880350335065</v>
      </c>
      <c r="E9" s="169">
        <f>$D$8*Cronograma_Fisico!E9</f>
        <v>21108.720087583766</v>
      </c>
      <c r="F9" s="169">
        <f>$D$8*Cronograma_Fisico!F9</f>
        <v>0</v>
      </c>
      <c r="G9" s="169">
        <f>$D$8*Cronograma_Fisico!G9</f>
        <v>0</v>
      </c>
      <c r="H9" s="169">
        <f>$D$8*Cronograma_Fisico!H9</f>
        <v>21108.720087583766</v>
      </c>
      <c r="I9" s="169">
        <f>$D$8*Cronograma_Fisico!I9</f>
        <v>0</v>
      </c>
      <c r="J9" s="169">
        <f>$D$8*Cronograma_Fisico!J9</f>
        <v>0</v>
      </c>
      <c r="K9" s="169">
        <f>$D$8*Cronograma_Fisico!K9</f>
        <v>21108.720087583766</v>
      </c>
      <c r="L9" s="169">
        <f>$D$8*Cronograma_Fisico!L9</f>
        <v>0</v>
      </c>
      <c r="M9" s="169">
        <f>$D$8*Cronograma_Fisico!M9</f>
        <v>0</v>
      </c>
      <c r="N9" s="169">
        <f>$D$8*Cronograma_Fisico!N9</f>
        <v>21108.720087583766</v>
      </c>
      <c r="O9" s="169">
        <f>$D$8*Cronograma_Fisico!O9</f>
        <v>0</v>
      </c>
      <c r="P9" s="169">
        <f>$D$8*Cronograma_Fisico!P9</f>
        <v>0</v>
      </c>
    </row>
    <row r="10" spans="1:16" ht="33.75" customHeight="1">
      <c r="A10" s="218" t="s">
        <v>683</v>
      </c>
      <c r="B10" s="216" t="str">
        <f>Principal!$B$9</f>
        <v>1.3</v>
      </c>
      <c r="C10" s="188" t="s">
        <v>679</v>
      </c>
      <c r="D10" s="189">
        <f>Principal!G9</f>
        <v>84434.880350335065</v>
      </c>
      <c r="E10" s="169">
        <f>$D$8*Cronograma_Fisico!E10</f>
        <v>0</v>
      </c>
      <c r="F10" s="169">
        <f>$D$8*Cronograma_Fisico!F10</f>
        <v>0</v>
      </c>
      <c r="G10" s="169">
        <f>$D$8*Cronograma_Fisico!G10</f>
        <v>21108.720087583766</v>
      </c>
      <c r="H10" s="169">
        <f>$D$8*Cronograma_Fisico!H10</f>
        <v>0</v>
      </c>
      <c r="I10" s="169">
        <f>$D$8*Cronograma_Fisico!I10</f>
        <v>0</v>
      </c>
      <c r="J10" s="169">
        <f>$D$8*Cronograma_Fisico!J10</f>
        <v>21108.720087583766</v>
      </c>
      <c r="K10" s="169">
        <f>$D$8*Cronograma_Fisico!K10</f>
        <v>0</v>
      </c>
      <c r="L10" s="169">
        <f>$D$8*Cronograma_Fisico!L10</f>
        <v>0</v>
      </c>
      <c r="M10" s="169">
        <f>$D$8*Cronograma_Fisico!M10</f>
        <v>21108.720087583766</v>
      </c>
      <c r="N10" s="169">
        <f>$D$8*Cronograma_Fisico!N10</f>
        <v>0</v>
      </c>
      <c r="O10" s="169">
        <f>$D$8*Cronograma_Fisico!O10</f>
        <v>0</v>
      </c>
      <c r="P10" s="169">
        <f>$D$8*Cronograma_Fisico!P10</f>
        <v>21108.720087583766</v>
      </c>
    </row>
    <row r="11" spans="1:16" ht="33.75" customHeight="1">
      <c r="A11" s="316" t="s">
        <v>673</v>
      </c>
      <c r="B11" s="332" t="s">
        <v>421</v>
      </c>
      <c r="C11" s="332"/>
      <c r="D11" s="332"/>
      <c r="E11" s="332"/>
      <c r="F11" s="332"/>
      <c r="G11" s="332"/>
      <c r="H11" s="332"/>
      <c r="I11" s="332"/>
      <c r="J11" s="332"/>
      <c r="K11" s="332"/>
      <c r="L11" s="332"/>
      <c r="M11" s="332"/>
      <c r="N11" s="332"/>
      <c r="O11" s="332"/>
      <c r="P11" s="333"/>
    </row>
    <row r="12" spans="1:16" ht="33.75" customHeight="1">
      <c r="A12" s="316"/>
      <c r="B12" s="216">
        <f>Principal!B11</f>
        <v>2</v>
      </c>
      <c r="C12" s="188" t="s">
        <v>381</v>
      </c>
      <c r="D12" s="189">
        <f>Principal!G12</f>
        <v>1645384.8102269582</v>
      </c>
      <c r="E12" s="169">
        <f>$D12*Cronograma_Fisico!E12</f>
        <v>137115.4008522465</v>
      </c>
      <c r="F12" s="169">
        <f>$D12*Cronograma_Fisico!F12</f>
        <v>137115.4008522465</v>
      </c>
      <c r="G12" s="169">
        <f>$D12*Cronograma_Fisico!G12</f>
        <v>137115.4008522465</v>
      </c>
      <c r="H12" s="169">
        <f>$D12*Cronograma_Fisico!H12</f>
        <v>137115.4008522465</v>
      </c>
      <c r="I12" s="169">
        <f>$D12*Cronograma_Fisico!I12</f>
        <v>137115.4008522465</v>
      </c>
      <c r="J12" s="169">
        <f>$D12*Cronograma_Fisico!J12</f>
        <v>137115.4008522465</v>
      </c>
      <c r="K12" s="169">
        <f>$D12*Cronograma_Fisico!K12</f>
        <v>137115.4008522465</v>
      </c>
      <c r="L12" s="169">
        <f>$D12*Cronograma_Fisico!L12</f>
        <v>137115.4008522465</v>
      </c>
      <c r="M12" s="169">
        <f>$D12*Cronograma_Fisico!M12</f>
        <v>137115.4008522465</v>
      </c>
      <c r="N12" s="169">
        <f>$D12*Cronograma_Fisico!N12</f>
        <v>137115.4008522465</v>
      </c>
      <c r="O12" s="169">
        <f>$D12*Cronograma_Fisico!O12</f>
        <v>137115.4008522465</v>
      </c>
      <c r="P12" s="169">
        <f>$D12*Cronograma_Fisico!P12</f>
        <v>137115.4008522465</v>
      </c>
    </row>
    <row r="13" spans="1:16" ht="33.75" customHeight="1">
      <c r="A13" s="316"/>
      <c r="B13" s="216">
        <f>Principal!B13</f>
        <v>3</v>
      </c>
      <c r="C13" s="188" t="s">
        <v>382</v>
      </c>
      <c r="D13" s="189">
        <f>Principal!G14</f>
        <v>640890.23700650991</v>
      </c>
      <c r="E13" s="169">
        <f>$D13*Cronograma_Fisico!E13</f>
        <v>0</v>
      </c>
      <c r="F13" s="169">
        <f>$D13*Cronograma_Fisico!F13</f>
        <v>0</v>
      </c>
      <c r="G13" s="169">
        <f>$D13*Cronograma_Fisico!G13</f>
        <v>0</v>
      </c>
      <c r="H13" s="169">
        <f>$D13*Cronograma_Fisico!H13</f>
        <v>0</v>
      </c>
      <c r="I13" s="169">
        <f>$D13*Cronograma_Fisico!I13</f>
        <v>0</v>
      </c>
      <c r="J13" s="169">
        <f>$D13*Cronograma_Fisico!J13</f>
        <v>0</v>
      </c>
      <c r="K13" s="169">
        <f>$D13*Cronograma_Fisico!K13</f>
        <v>0</v>
      </c>
      <c r="L13" s="169">
        <f>$D13*Cronograma_Fisico!L13</f>
        <v>0</v>
      </c>
      <c r="M13" s="169">
        <f>$D13*Cronograma_Fisico!M13</f>
        <v>0</v>
      </c>
      <c r="N13" s="169">
        <f>$D13*Cronograma_Fisico!N13</f>
        <v>640890.23700650991</v>
      </c>
      <c r="O13" s="169">
        <f>$D13*Cronograma_Fisico!O13</f>
        <v>0</v>
      </c>
      <c r="P13" s="169">
        <f>$D13*Cronograma_Fisico!P13</f>
        <v>0</v>
      </c>
    </row>
    <row r="14" spans="1:16" ht="33.75" customHeight="1">
      <c r="A14" s="316"/>
      <c r="B14" s="216">
        <f>Principal!B15</f>
        <v>4</v>
      </c>
      <c r="C14" s="188" t="s">
        <v>383</v>
      </c>
      <c r="D14" s="189">
        <f>Principal!G16</f>
        <v>267101.3106290616</v>
      </c>
      <c r="E14" s="169">
        <f>$D14*Cronograma_Fisico!E14</f>
        <v>0</v>
      </c>
      <c r="F14" s="169">
        <f>$D14*Cronograma_Fisico!F14</f>
        <v>0</v>
      </c>
      <c r="G14" s="169">
        <f>$D14*Cronograma_Fisico!G14</f>
        <v>0</v>
      </c>
      <c r="H14" s="169">
        <f>$D14*Cronograma_Fisico!H14</f>
        <v>0</v>
      </c>
      <c r="I14" s="169">
        <f>$D14*Cronograma_Fisico!I14</f>
        <v>0</v>
      </c>
      <c r="J14" s="169">
        <f>$D14*Cronograma_Fisico!J14</f>
        <v>0</v>
      </c>
      <c r="K14" s="169">
        <f>$D14*Cronograma_Fisico!K14</f>
        <v>0</v>
      </c>
      <c r="L14" s="169">
        <f>$D14*Cronograma_Fisico!L14</f>
        <v>0</v>
      </c>
      <c r="M14" s="169">
        <f>$D14*Cronograma_Fisico!M14</f>
        <v>0</v>
      </c>
      <c r="N14" s="169">
        <f>$D14*Cronograma_Fisico!N14</f>
        <v>267101.3106290616</v>
      </c>
      <c r="O14" s="169">
        <f>$D14*Cronograma_Fisico!O14</f>
        <v>0</v>
      </c>
      <c r="P14" s="169">
        <f>$D14*Cronograma_Fisico!P14</f>
        <v>0</v>
      </c>
    </row>
    <row r="15" spans="1:16" ht="33.75" customHeight="1">
      <c r="A15" s="316"/>
      <c r="B15" s="216">
        <f>Principal!B17</f>
        <v>5</v>
      </c>
      <c r="C15" s="188" t="s">
        <v>384</v>
      </c>
      <c r="D15" s="189">
        <f>Principal!G18</f>
        <v>267101.3106290616</v>
      </c>
      <c r="E15" s="169">
        <f>$D15*Cronograma_Fisico!E15</f>
        <v>0</v>
      </c>
      <c r="F15" s="169">
        <f>$D15*Cronograma_Fisico!F15</f>
        <v>0</v>
      </c>
      <c r="G15" s="169">
        <f>$D15*Cronograma_Fisico!G15</f>
        <v>0</v>
      </c>
      <c r="H15" s="169">
        <f>$D15*Cronograma_Fisico!H15</f>
        <v>0</v>
      </c>
      <c r="I15" s="169">
        <f>$D15*Cronograma_Fisico!I15</f>
        <v>0</v>
      </c>
      <c r="J15" s="169">
        <f>$D15*Cronograma_Fisico!J15</f>
        <v>0</v>
      </c>
      <c r="K15" s="169">
        <f>$D15*Cronograma_Fisico!K15</f>
        <v>0</v>
      </c>
      <c r="L15" s="169">
        <f>$D15*Cronograma_Fisico!L15</f>
        <v>0</v>
      </c>
      <c r="M15" s="169">
        <f>$D15*Cronograma_Fisico!M15</f>
        <v>0</v>
      </c>
      <c r="N15" s="169">
        <f>$D15*Cronograma_Fisico!N15</f>
        <v>267101.3106290616</v>
      </c>
      <c r="O15" s="169">
        <f>$D15*Cronograma_Fisico!O15</f>
        <v>0</v>
      </c>
      <c r="P15" s="169">
        <f>$D15*Cronograma_Fisico!P15</f>
        <v>0</v>
      </c>
    </row>
    <row r="16" spans="1:16" ht="33.75" customHeight="1">
      <c r="A16" s="316"/>
      <c r="B16" s="216">
        <f>Principal!B19</f>
        <v>6</v>
      </c>
      <c r="C16" s="188" t="s">
        <v>385</v>
      </c>
      <c r="D16" s="189">
        <f>Principal!G20</f>
        <v>34278.850213061633</v>
      </c>
      <c r="E16" s="169">
        <f>$D16*Cronograma_Fisico!E16</f>
        <v>0</v>
      </c>
      <c r="F16" s="169">
        <f>$D16*Cronograma_Fisico!F16</f>
        <v>0</v>
      </c>
      <c r="G16" s="169">
        <f>$D16*Cronograma_Fisico!G16</f>
        <v>0</v>
      </c>
      <c r="H16" s="169">
        <f>$D16*Cronograma_Fisico!H16</f>
        <v>0</v>
      </c>
      <c r="I16" s="169">
        <f>$D16*Cronograma_Fisico!I16</f>
        <v>0</v>
      </c>
      <c r="J16" s="169">
        <f>$D16*Cronograma_Fisico!J16</f>
        <v>0</v>
      </c>
      <c r="K16" s="169">
        <f>$D16*Cronograma_Fisico!K16</f>
        <v>0</v>
      </c>
      <c r="L16" s="169">
        <f>$D16*Cronograma_Fisico!L16</f>
        <v>0</v>
      </c>
      <c r="M16" s="169">
        <f>$D16*Cronograma_Fisico!M16</f>
        <v>0</v>
      </c>
      <c r="N16" s="169">
        <f>$D16*Cronograma_Fisico!N16</f>
        <v>34278.850213061633</v>
      </c>
      <c r="O16" s="169">
        <f>$D16*Cronograma_Fisico!O16</f>
        <v>0</v>
      </c>
      <c r="P16" s="169">
        <f>$D16*Cronograma_Fisico!P16</f>
        <v>0</v>
      </c>
    </row>
    <row r="17" spans="1:16" ht="33.75" customHeight="1">
      <c r="A17" s="316"/>
      <c r="B17" s="216">
        <f>Principal!B21</f>
        <v>7</v>
      </c>
      <c r="C17" s="188" t="s">
        <v>386</v>
      </c>
      <c r="D17" s="189">
        <f>Principal!G22</f>
        <v>34278.850213061633</v>
      </c>
      <c r="E17" s="169">
        <f>$D17*Cronograma_Fisico!E17</f>
        <v>0</v>
      </c>
      <c r="F17" s="169">
        <f>$D17*Cronograma_Fisico!F17</f>
        <v>0</v>
      </c>
      <c r="G17" s="169">
        <f>$D17*Cronograma_Fisico!G17</f>
        <v>0</v>
      </c>
      <c r="H17" s="169">
        <f>$D17*Cronograma_Fisico!H17</f>
        <v>0</v>
      </c>
      <c r="I17" s="169">
        <f>$D17*Cronograma_Fisico!I17</f>
        <v>0</v>
      </c>
      <c r="J17" s="169">
        <f>$D17*Cronograma_Fisico!J17</f>
        <v>0</v>
      </c>
      <c r="K17" s="169">
        <f>$D17*Cronograma_Fisico!K17</f>
        <v>0</v>
      </c>
      <c r="L17" s="169">
        <f>$D17*Cronograma_Fisico!L17</f>
        <v>0</v>
      </c>
      <c r="M17" s="169">
        <f>$D17*Cronograma_Fisico!M17</f>
        <v>0</v>
      </c>
      <c r="N17" s="169">
        <f>$D17*Cronograma_Fisico!N17</f>
        <v>34278.850213061633</v>
      </c>
      <c r="O17" s="169">
        <f>$D17*Cronograma_Fisico!O17</f>
        <v>0</v>
      </c>
      <c r="P17" s="169">
        <f>$D17*Cronograma_Fisico!P17</f>
        <v>0</v>
      </c>
    </row>
    <row r="18" spans="1:16" ht="33.75" customHeight="1">
      <c r="A18" s="316"/>
      <c r="B18" s="332" t="s">
        <v>435</v>
      </c>
      <c r="C18" s="332"/>
      <c r="D18" s="332"/>
      <c r="E18" s="332"/>
      <c r="F18" s="332"/>
      <c r="G18" s="332"/>
      <c r="H18" s="332"/>
      <c r="I18" s="332"/>
      <c r="J18" s="332"/>
      <c r="K18" s="332"/>
      <c r="L18" s="332"/>
      <c r="M18" s="332"/>
      <c r="N18" s="332"/>
      <c r="O18" s="332"/>
      <c r="P18" s="333"/>
    </row>
    <row r="19" spans="1:16" ht="33.75" customHeight="1">
      <c r="A19" s="316"/>
      <c r="B19" s="216">
        <f>Principal!B24</f>
        <v>8</v>
      </c>
      <c r="C19" s="188" t="s">
        <v>381</v>
      </c>
      <c r="D19" s="189">
        <f>Principal!G25</f>
        <v>2953474.758857972</v>
      </c>
      <c r="E19" s="169">
        <f>$D19*Cronograma_Fisico!E19</f>
        <v>246122.89657149767</v>
      </c>
      <c r="F19" s="169">
        <f>$D19*Cronograma_Fisico!F19</f>
        <v>246122.89657149767</v>
      </c>
      <c r="G19" s="169">
        <f>$D19*Cronograma_Fisico!G19</f>
        <v>246122.89657149767</v>
      </c>
      <c r="H19" s="169">
        <f>$D19*Cronograma_Fisico!H19</f>
        <v>246122.89657149767</v>
      </c>
      <c r="I19" s="169">
        <f>$D19*Cronograma_Fisico!I19</f>
        <v>246122.89657149767</v>
      </c>
      <c r="J19" s="169">
        <f>$D19*Cronograma_Fisico!J19</f>
        <v>246122.89657149767</v>
      </c>
      <c r="K19" s="169">
        <f>$D19*Cronograma_Fisico!K19</f>
        <v>246122.89657149767</v>
      </c>
      <c r="L19" s="169">
        <f>$D19*Cronograma_Fisico!L19</f>
        <v>246122.89657149767</v>
      </c>
      <c r="M19" s="169">
        <f>$D19*Cronograma_Fisico!M19</f>
        <v>246122.89657149767</v>
      </c>
      <c r="N19" s="169">
        <f>$D19*Cronograma_Fisico!N19</f>
        <v>246122.89657149767</v>
      </c>
      <c r="O19" s="169">
        <f>$D19*Cronograma_Fisico!O19</f>
        <v>246122.89657149767</v>
      </c>
      <c r="P19" s="169">
        <f>$D19*Cronograma_Fisico!P19</f>
        <v>246122.89657149767</v>
      </c>
    </row>
    <row r="20" spans="1:16" ht="33.75" customHeight="1">
      <c r="A20" s="316"/>
      <c r="B20" s="216">
        <f>Principal!B26</f>
        <v>9</v>
      </c>
      <c r="C20" s="188" t="s">
        <v>382</v>
      </c>
      <c r="D20" s="189">
        <f>Principal!G27</f>
        <v>833358.03592448751</v>
      </c>
      <c r="E20" s="169">
        <f>$D20*Cronograma_Fisico!E20</f>
        <v>0</v>
      </c>
      <c r="F20" s="169">
        <f>$D20*Cronograma_Fisico!F20</f>
        <v>0</v>
      </c>
      <c r="G20" s="169">
        <f>$D20*Cronograma_Fisico!G20</f>
        <v>0</v>
      </c>
      <c r="H20" s="169">
        <f>$D20*Cronograma_Fisico!H20</f>
        <v>0</v>
      </c>
      <c r="I20" s="169">
        <f>$D20*Cronograma_Fisico!I20</f>
        <v>0</v>
      </c>
      <c r="J20" s="169">
        <f>$D20*Cronograma_Fisico!J20</f>
        <v>0</v>
      </c>
      <c r="K20" s="169">
        <f>$D20*Cronograma_Fisico!K20</f>
        <v>0</v>
      </c>
      <c r="L20" s="169">
        <f>$D20*Cronograma_Fisico!L20</f>
        <v>0</v>
      </c>
      <c r="M20" s="169">
        <f>$D20*Cronograma_Fisico!M20</f>
        <v>0</v>
      </c>
      <c r="N20" s="169">
        <f>$D20*Cronograma_Fisico!N20</f>
        <v>833358.03592448751</v>
      </c>
      <c r="O20" s="169">
        <f>$D20*Cronograma_Fisico!O20</f>
        <v>0</v>
      </c>
      <c r="P20" s="169">
        <f>$D20*Cronograma_Fisico!P20</f>
        <v>0</v>
      </c>
    </row>
    <row r="21" spans="1:16" ht="33.75" customHeight="1">
      <c r="A21" s="316"/>
      <c r="B21" s="216">
        <f>Principal!B28</f>
        <v>10</v>
      </c>
      <c r="C21" s="188" t="s">
        <v>383</v>
      </c>
      <c r="D21" s="189">
        <f>Principal!G29</f>
        <v>404031.75803625997</v>
      </c>
      <c r="E21" s="169">
        <f>$D21*Cronograma_Fisico!E21</f>
        <v>0</v>
      </c>
      <c r="F21" s="169">
        <f>$D21*Cronograma_Fisico!F21</f>
        <v>0</v>
      </c>
      <c r="G21" s="169">
        <f>$D21*Cronograma_Fisico!G21</f>
        <v>0</v>
      </c>
      <c r="H21" s="169">
        <f>$D21*Cronograma_Fisico!H21</f>
        <v>0</v>
      </c>
      <c r="I21" s="169">
        <f>$D21*Cronograma_Fisico!I21</f>
        <v>0</v>
      </c>
      <c r="J21" s="169">
        <f>$D21*Cronograma_Fisico!J21</f>
        <v>0</v>
      </c>
      <c r="K21" s="169">
        <f>$D21*Cronograma_Fisico!K21</f>
        <v>0</v>
      </c>
      <c r="L21" s="169">
        <f>$D21*Cronograma_Fisico!L21</f>
        <v>0</v>
      </c>
      <c r="M21" s="169">
        <f>$D21*Cronograma_Fisico!M21</f>
        <v>0</v>
      </c>
      <c r="N21" s="169">
        <f>$D21*Cronograma_Fisico!N21</f>
        <v>404031.75803625997</v>
      </c>
      <c r="O21" s="169">
        <f>$D21*Cronograma_Fisico!O21</f>
        <v>0</v>
      </c>
      <c r="P21" s="169">
        <f>$D21*Cronograma_Fisico!P21</f>
        <v>0</v>
      </c>
    </row>
    <row r="22" spans="1:16" ht="33.75" customHeight="1">
      <c r="A22" s="316"/>
      <c r="B22" s="216">
        <f>Principal!B30</f>
        <v>11</v>
      </c>
      <c r="C22" s="188" t="s">
        <v>384</v>
      </c>
      <c r="D22" s="189">
        <f>Principal!G31</f>
        <v>404031.75803625997</v>
      </c>
      <c r="E22" s="169">
        <f>$D22*Cronograma_Fisico!E22</f>
        <v>0</v>
      </c>
      <c r="F22" s="169">
        <f>$D22*Cronograma_Fisico!F22</f>
        <v>0</v>
      </c>
      <c r="G22" s="169">
        <f>$D22*Cronograma_Fisico!G22</f>
        <v>0</v>
      </c>
      <c r="H22" s="169">
        <f>$D22*Cronograma_Fisico!H22</f>
        <v>0</v>
      </c>
      <c r="I22" s="169">
        <f>$D22*Cronograma_Fisico!I22</f>
        <v>0</v>
      </c>
      <c r="J22" s="169">
        <f>$D22*Cronograma_Fisico!J22</f>
        <v>0</v>
      </c>
      <c r="K22" s="169">
        <f>$D22*Cronograma_Fisico!K22</f>
        <v>0</v>
      </c>
      <c r="L22" s="169">
        <f>$D22*Cronograma_Fisico!L22</f>
        <v>0</v>
      </c>
      <c r="M22" s="169">
        <f>$D22*Cronograma_Fisico!M22</f>
        <v>0</v>
      </c>
      <c r="N22" s="169">
        <f>$D22*Cronograma_Fisico!N22</f>
        <v>404031.75803625997</v>
      </c>
      <c r="O22" s="169">
        <f>$D22*Cronograma_Fisico!O22</f>
        <v>0</v>
      </c>
      <c r="P22" s="169">
        <f>$D22*Cronograma_Fisico!P22</f>
        <v>0</v>
      </c>
    </row>
    <row r="23" spans="1:16" ht="33.75" customHeight="1">
      <c r="A23" s="316"/>
      <c r="B23" s="216">
        <f>Principal!B32</f>
        <v>12</v>
      </c>
      <c r="C23" s="188" t="s">
        <v>385</v>
      </c>
      <c r="D23" s="189">
        <f>Principal!G33</f>
        <v>48439.470804259821</v>
      </c>
      <c r="E23" s="169">
        <f>$D23*Cronograma_Fisico!E23</f>
        <v>0</v>
      </c>
      <c r="F23" s="169">
        <f>$D23*Cronograma_Fisico!F23</f>
        <v>0</v>
      </c>
      <c r="G23" s="169">
        <f>$D23*Cronograma_Fisico!G23</f>
        <v>0</v>
      </c>
      <c r="H23" s="169">
        <f>$D23*Cronograma_Fisico!H23</f>
        <v>0</v>
      </c>
      <c r="I23" s="169">
        <f>$D23*Cronograma_Fisico!I23</f>
        <v>0</v>
      </c>
      <c r="J23" s="169">
        <f>$D23*Cronograma_Fisico!J23</f>
        <v>0</v>
      </c>
      <c r="K23" s="169">
        <f>$D23*Cronograma_Fisico!K23</f>
        <v>0</v>
      </c>
      <c r="L23" s="169">
        <f>$D23*Cronograma_Fisico!L23</f>
        <v>0</v>
      </c>
      <c r="M23" s="169">
        <f>$D23*Cronograma_Fisico!M23</f>
        <v>0</v>
      </c>
      <c r="N23" s="169">
        <f>$D23*Cronograma_Fisico!N23</f>
        <v>48439.470804259821</v>
      </c>
      <c r="O23" s="169">
        <f>$D23*Cronograma_Fisico!O23</f>
        <v>0</v>
      </c>
      <c r="P23" s="169">
        <f>$D23*Cronograma_Fisico!P23</f>
        <v>0</v>
      </c>
    </row>
    <row r="24" spans="1:16" ht="33.75" customHeight="1">
      <c r="A24" s="316"/>
      <c r="B24" s="217">
        <f>Principal!B34</f>
        <v>13</v>
      </c>
      <c r="C24" s="188" t="s">
        <v>386</v>
      </c>
      <c r="D24" s="190">
        <f>Principal!G35</f>
        <v>48439.470804259821</v>
      </c>
      <c r="E24" s="169">
        <f>$D24*Cronograma_Fisico!E24</f>
        <v>0</v>
      </c>
      <c r="F24" s="169">
        <f>$D24*Cronograma_Fisico!F24</f>
        <v>0</v>
      </c>
      <c r="G24" s="169">
        <f>$D24*Cronograma_Fisico!G24</f>
        <v>0</v>
      </c>
      <c r="H24" s="169">
        <f>$D24*Cronograma_Fisico!H24</f>
        <v>0</v>
      </c>
      <c r="I24" s="169">
        <f>$D24*Cronograma_Fisico!I24</f>
        <v>0</v>
      </c>
      <c r="J24" s="169">
        <f>$D24*Cronograma_Fisico!J24</f>
        <v>0</v>
      </c>
      <c r="K24" s="169">
        <f>$D24*Cronograma_Fisico!K24</f>
        <v>0</v>
      </c>
      <c r="L24" s="169">
        <f>$D24*Cronograma_Fisico!L24</f>
        <v>0</v>
      </c>
      <c r="M24" s="169">
        <f>$D24*Cronograma_Fisico!M24</f>
        <v>0</v>
      </c>
      <c r="N24" s="169">
        <f>$D24*Cronograma_Fisico!N24</f>
        <v>48439.470804259821</v>
      </c>
      <c r="O24" s="169">
        <f>$D24*Cronograma_Fisico!O24</f>
        <v>0</v>
      </c>
      <c r="P24" s="169">
        <f>$D24*Cronograma_Fisico!P24</f>
        <v>0</v>
      </c>
    </row>
    <row r="25" spans="1:16" ht="33.75" customHeight="1">
      <c r="A25" s="316"/>
      <c r="B25" s="334" t="s">
        <v>682</v>
      </c>
      <c r="C25" s="335"/>
      <c r="D25" s="187">
        <f t="shared" ref="D25:I25" si="0">SUM(D8:D9,D12:D17,D19:D24)</f>
        <v>7749680.382081883</v>
      </c>
      <c r="E25" s="187">
        <f t="shared" si="0"/>
        <v>404347.01751132793</v>
      </c>
      <c r="F25" s="187">
        <f t="shared" si="0"/>
        <v>404347.01751132793</v>
      </c>
      <c r="G25" s="187">
        <f t="shared" si="0"/>
        <v>383238.29742374417</v>
      </c>
      <c r="H25" s="187">
        <f t="shared" si="0"/>
        <v>404347.01751132793</v>
      </c>
      <c r="I25" s="187">
        <f t="shared" si="0"/>
        <v>404347.01751132793</v>
      </c>
      <c r="J25" s="187">
        <f t="shared" ref="J25:P25" si="1">SUM(J8:J9,J12:J17,J19:J24)</f>
        <v>383238.29742374417</v>
      </c>
      <c r="K25" s="187">
        <f t="shared" si="1"/>
        <v>404347.01751132793</v>
      </c>
      <c r="L25" s="187">
        <f t="shared" si="1"/>
        <v>404347.01751132793</v>
      </c>
      <c r="M25" s="187">
        <f t="shared" si="1"/>
        <v>383238.29742374417</v>
      </c>
      <c r="N25" s="187">
        <f t="shared" si="1"/>
        <v>3386298.0698076114</v>
      </c>
      <c r="O25" s="187">
        <f t="shared" si="1"/>
        <v>404347.01751132793</v>
      </c>
      <c r="P25" s="187">
        <f t="shared" si="1"/>
        <v>383238.29742374417</v>
      </c>
    </row>
    <row r="26" spans="1:16" ht="33.75" customHeight="1">
      <c r="A26" s="316" t="s">
        <v>683</v>
      </c>
      <c r="B26" s="332" t="s">
        <v>634</v>
      </c>
      <c r="C26" s="332"/>
      <c r="D26" s="332"/>
      <c r="E26" s="332"/>
      <c r="F26" s="332"/>
      <c r="G26" s="332"/>
      <c r="H26" s="332"/>
      <c r="I26" s="332"/>
      <c r="J26" s="332"/>
      <c r="K26" s="332"/>
      <c r="L26" s="332"/>
      <c r="M26" s="332"/>
      <c r="N26" s="332"/>
      <c r="O26" s="332"/>
      <c r="P26" s="333"/>
    </row>
    <row r="27" spans="1:16" ht="33.75" customHeight="1">
      <c r="A27" s="316"/>
      <c r="B27" s="216">
        <v>14</v>
      </c>
      <c r="C27" s="188" t="s">
        <v>381</v>
      </c>
      <c r="D27" s="189">
        <f>Principal!G39</f>
        <v>2879233.8481562445</v>
      </c>
      <c r="E27" s="169">
        <f>$D27*Cronograma_Fisico!E26</f>
        <v>239936.15401302036</v>
      </c>
      <c r="F27" s="169">
        <f>$D27*Cronograma_Fisico!F26</f>
        <v>239936.15401302036</v>
      </c>
      <c r="G27" s="169">
        <f>$D27*Cronograma_Fisico!G26</f>
        <v>239936.15401302036</v>
      </c>
      <c r="H27" s="169">
        <f>$D27*Cronograma_Fisico!H26</f>
        <v>239936.15401302036</v>
      </c>
      <c r="I27" s="169">
        <f>$D27*Cronograma_Fisico!I26</f>
        <v>239936.15401302036</v>
      </c>
      <c r="J27" s="169">
        <f>$D27*Cronograma_Fisico!J26</f>
        <v>239936.15401302036</v>
      </c>
      <c r="K27" s="169">
        <f>$D27*Cronograma_Fisico!K26</f>
        <v>239936.15401302036</v>
      </c>
      <c r="L27" s="169">
        <f>$D27*Cronograma_Fisico!L26</f>
        <v>239936.15401302036</v>
      </c>
      <c r="M27" s="169">
        <f>$D27*Cronograma_Fisico!M26</f>
        <v>239936.15401302036</v>
      </c>
      <c r="N27" s="169">
        <f>$D27*Cronograma_Fisico!N26</f>
        <v>239936.15401302036</v>
      </c>
      <c r="O27" s="169">
        <f>$D27*Cronograma_Fisico!O26</f>
        <v>239936.15401302036</v>
      </c>
      <c r="P27" s="169">
        <f>$D27*Cronograma_Fisico!P26</f>
        <v>239936.15401302036</v>
      </c>
    </row>
    <row r="28" spans="1:16" ht="33.75" customHeight="1">
      <c r="A28" s="316"/>
      <c r="B28" s="216">
        <v>15</v>
      </c>
      <c r="C28" s="188" t="s">
        <v>382</v>
      </c>
      <c r="D28" s="189">
        <f>Principal!G41</f>
        <v>980033.99432699359</v>
      </c>
      <c r="E28" s="169">
        <f>$D28*Cronograma_Fisico!E27</f>
        <v>0</v>
      </c>
      <c r="F28" s="169">
        <f>$D28*Cronograma_Fisico!F27</f>
        <v>0</v>
      </c>
      <c r="G28" s="169">
        <f>$D28*Cronograma_Fisico!G27</f>
        <v>0</v>
      </c>
      <c r="H28" s="169">
        <f>$D28*Cronograma_Fisico!H27</f>
        <v>0</v>
      </c>
      <c r="I28" s="169">
        <f>$D28*Cronograma_Fisico!I27</f>
        <v>0</v>
      </c>
      <c r="J28" s="169">
        <f>$D28*Cronograma_Fisico!J27</f>
        <v>0</v>
      </c>
      <c r="K28" s="169">
        <f>$D28*Cronograma_Fisico!K27</f>
        <v>0</v>
      </c>
      <c r="L28" s="169">
        <f>$D28*Cronograma_Fisico!L27</f>
        <v>0</v>
      </c>
      <c r="M28" s="169">
        <f>$D28*Cronograma_Fisico!M27</f>
        <v>0</v>
      </c>
      <c r="N28" s="169">
        <f>$D28*Cronograma_Fisico!N27</f>
        <v>980033.99432699359</v>
      </c>
      <c r="O28" s="169">
        <f>$D28*Cronograma_Fisico!O27</f>
        <v>0</v>
      </c>
      <c r="P28" s="169">
        <f>$D28*Cronograma_Fisico!P27</f>
        <v>0</v>
      </c>
    </row>
    <row r="29" spans="1:16" ht="33.75" customHeight="1">
      <c r="A29" s="316"/>
      <c r="B29" s="216">
        <v>16</v>
      </c>
      <c r="C29" s="188" t="s">
        <v>383</v>
      </c>
      <c r="D29" s="189">
        <f>Principal!G43</f>
        <v>389688.78768493253</v>
      </c>
      <c r="E29" s="169">
        <f>$D29*Cronograma_Fisico!E28</f>
        <v>0</v>
      </c>
      <c r="F29" s="169">
        <f>$D29*Cronograma_Fisico!F28</f>
        <v>0</v>
      </c>
      <c r="G29" s="169">
        <f>$D29*Cronograma_Fisico!G28</f>
        <v>0</v>
      </c>
      <c r="H29" s="169">
        <f>$D29*Cronograma_Fisico!H28</f>
        <v>0</v>
      </c>
      <c r="I29" s="169">
        <f>$D29*Cronograma_Fisico!I28</f>
        <v>0</v>
      </c>
      <c r="J29" s="169">
        <f>$D29*Cronograma_Fisico!J28</f>
        <v>0</v>
      </c>
      <c r="K29" s="169">
        <f>$D29*Cronograma_Fisico!K28</f>
        <v>0</v>
      </c>
      <c r="L29" s="169">
        <f>$D29*Cronograma_Fisico!L28</f>
        <v>0</v>
      </c>
      <c r="M29" s="169">
        <f>$D29*Cronograma_Fisico!M28</f>
        <v>0</v>
      </c>
      <c r="N29" s="169">
        <f>$D29*Cronograma_Fisico!N28</f>
        <v>389688.78768493253</v>
      </c>
      <c r="O29" s="169">
        <f>$D29*Cronograma_Fisico!O28</f>
        <v>0</v>
      </c>
      <c r="P29" s="169">
        <f>$D29*Cronograma_Fisico!P28</f>
        <v>0</v>
      </c>
    </row>
    <row r="30" spans="1:16" ht="33.75" customHeight="1">
      <c r="A30" s="316"/>
      <c r="B30" s="216">
        <v>17</v>
      </c>
      <c r="C30" s="188" t="s">
        <v>384</v>
      </c>
      <c r="D30" s="189">
        <f>Principal!G45</f>
        <v>389077.74029903812</v>
      </c>
      <c r="E30" s="169">
        <f>$D30*Cronograma_Fisico!E29</f>
        <v>0</v>
      </c>
      <c r="F30" s="169">
        <f>$D30*Cronograma_Fisico!F29</f>
        <v>0</v>
      </c>
      <c r="G30" s="169">
        <f>$D30*Cronograma_Fisico!G29</f>
        <v>0</v>
      </c>
      <c r="H30" s="169">
        <f>$D30*Cronograma_Fisico!H29</f>
        <v>0</v>
      </c>
      <c r="I30" s="169">
        <f>$D30*Cronograma_Fisico!I29</f>
        <v>0</v>
      </c>
      <c r="J30" s="169">
        <f>$D30*Cronograma_Fisico!J29</f>
        <v>0</v>
      </c>
      <c r="K30" s="169">
        <f>$D30*Cronograma_Fisico!K29</f>
        <v>0</v>
      </c>
      <c r="L30" s="169">
        <f>$D30*Cronograma_Fisico!L29</f>
        <v>0</v>
      </c>
      <c r="M30" s="169">
        <f>$D30*Cronograma_Fisico!M29</f>
        <v>0</v>
      </c>
      <c r="N30" s="169">
        <f>$D30*Cronograma_Fisico!N29</f>
        <v>389077.74029903812</v>
      </c>
      <c r="O30" s="169">
        <f>$D30*Cronograma_Fisico!O29</f>
        <v>0</v>
      </c>
      <c r="P30" s="169">
        <f>$D30*Cronograma_Fisico!P29</f>
        <v>0</v>
      </c>
    </row>
    <row r="31" spans="1:16" ht="33.75" customHeight="1">
      <c r="A31" s="316"/>
      <c r="B31" s="216">
        <v>18</v>
      </c>
      <c r="C31" s="188" t="s">
        <v>385</v>
      </c>
      <c r="D31" s="189">
        <f>Principal!G47</f>
        <v>55985.102603038089</v>
      </c>
      <c r="E31" s="169">
        <f>$D31*Cronograma_Fisico!E30</f>
        <v>0</v>
      </c>
      <c r="F31" s="169">
        <f>$D31*Cronograma_Fisico!F30</f>
        <v>0</v>
      </c>
      <c r="G31" s="169">
        <f>$D31*Cronograma_Fisico!G30</f>
        <v>0</v>
      </c>
      <c r="H31" s="169">
        <f>$D31*Cronograma_Fisico!H30</f>
        <v>0</v>
      </c>
      <c r="I31" s="169">
        <f>$D31*Cronograma_Fisico!I30</f>
        <v>0</v>
      </c>
      <c r="J31" s="169">
        <f>$D31*Cronograma_Fisico!J30</f>
        <v>0</v>
      </c>
      <c r="K31" s="169">
        <f>$D31*Cronograma_Fisico!K30</f>
        <v>0</v>
      </c>
      <c r="L31" s="169">
        <f>$D31*Cronograma_Fisico!L30</f>
        <v>0</v>
      </c>
      <c r="M31" s="169">
        <f>$D31*Cronograma_Fisico!M30</f>
        <v>0</v>
      </c>
      <c r="N31" s="169">
        <f>$D31*Cronograma_Fisico!N30</f>
        <v>55985.102603038089</v>
      </c>
      <c r="O31" s="169">
        <f>$D31*Cronograma_Fisico!O30</f>
        <v>0</v>
      </c>
      <c r="P31" s="169">
        <f>$D31*Cronograma_Fisico!P30</f>
        <v>0</v>
      </c>
    </row>
    <row r="32" spans="1:16" ht="33.75" customHeight="1">
      <c r="A32" s="316"/>
      <c r="B32" s="216">
        <v>19</v>
      </c>
      <c r="C32" s="188" t="s">
        <v>386</v>
      </c>
      <c r="D32" s="189">
        <f>Principal!G49</f>
        <v>55985.102603038089</v>
      </c>
      <c r="E32" s="169">
        <f>$D32*Cronograma_Fisico!E31</f>
        <v>0</v>
      </c>
      <c r="F32" s="169">
        <f>$D32*Cronograma_Fisico!F31</f>
        <v>0</v>
      </c>
      <c r="G32" s="169">
        <f>$D32*Cronograma_Fisico!G31</f>
        <v>0</v>
      </c>
      <c r="H32" s="169">
        <f>$D32*Cronograma_Fisico!H31</f>
        <v>0</v>
      </c>
      <c r="I32" s="169">
        <f>$D32*Cronograma_Fisico!I31</f>
        <v>0</v>
      </c>
      <c r="J32" s="169">
        <f>$D32*Cronograma_Fisico!J31</f>
        <v>0</v>
      </c>
      <c r="K32" s="169">
        <f>$D32*Cronograma_Fisico!K31</f>
        <v>0</v>
      </c>
      <c r="L32" s="169">
        <f>$D32*Cronograma_Fisico!L31</f>
        <v>0</v>
      </c>
      <c r="M32" s="169">
        <f>$D32*Cronograma_Fisico!M31</f>
        <v>0</v>
      </c>
      <c r="N32" s="169">
        <f>$D32*Cronograma_Fisico!N31</f>
        <v>55985.102603038089</v>
      </c>
      <c r="O32" s="169">
        <f>$D32*Cronograma_Fisico!O31</f>
        <v>0</v>
      </c>
      <c r="P32" s="169">
        <f>$D32*Cronograma_Fisico!P31</f>
        <v>0</v>
      </c>
    </row>
    <row r="33" spans="1:16" ht="33.75" customHeight="1">
      <c r="A33" s="316"/>
      <c r="B33" s="334" t="s">
        <v>681</v>
      </c>
      <c r="C33" s="335"/>
      <c r="D33" s="187">
        <f>SUM(D27:D32)</f>
        <v>4750004.575673284</v>
      </c>
      <c r="E33" s="187">
        <f t="shared" ref="E33:P33" si="2">SUM(E27:E32)</f>
        <v>239936.15401302036</v>
      </c>
      <c r="F33" s="187">
        <f t="shared" si="2"/>
        <v>239936.15401302036</v>
      </c>
      <c r="G33" s="187">
        <f t="shared" si="2"/>
        <v>239936.15401302036</v>
      </c>
      <c r="H33" s="187">
        <f t="shared" si="2"/>
        <v>239936.15401302036</v>
      </c>
      <c r="I33" s="187">
        <f t="shared" si="2"/>
        <v>239936.15401302036</v>
      </c>
      <c r="J33" s="187">
        <f t="shared" si="2"/>
        <v>239936.15401302036</v>
      </c>
      <c r="K33" s="187">
        <f t="shared" si="2"/>
        <v>239936.15401302036</v>
      </c>
      <c r="L33" s="187">
        <f t="shared" si="2"/>
        <v>239936.15401302036</v>
      </c>
      <c r="M33" s="187">
        <f t="shared" si="2"/>
        <v>239936.15401302036</v>
      </c>
      <c r="N33" s="187">
        <f t="shared" si="2"/>
        <v>2110706.8815300609</v>
      </c>
      <c r="O33" s="187">
        <f t="shared" si="2"/>
        <v>239936.15401302036</v>
      </c>
      <c r="P33" s="187">
        <f t="shared" si="2"/>
        <v>239936.15401302036</v>
      </c>
    </row>
  </sheetData>
  <mergeCells count="19">
    <mergeCell ref="B25:C25"/>
    <mergeCell ref="B11:P11"/>
    <mergeCell ref="B18:P18"/>
    <mergeCell ref="A26:A33"/>
    <mergeCell ref="A1:K2"/>
    <mergeCell ref="A5:P5"/>
    <mergeCell ref="A6:A7"/>
    <mergeCell ref="A8:A9"/>
    <mergeCell ref="A11:A25"/>
    <mergeCell ref="B6:B7"/>
    <mergeCell ref="C6:C7"/>
    <mergeCell ref="D6:D7"/>
    <mergeCell ref="E6:P6"/>
    <mergeCell ref="O1:P1"/>
    <mergeCell ref="O2:P2"/>
    <mergeCell ref="M1:N1"/>
    <mergeCell ref="M2:N2"/>
    <mergeCell ref="B26:P26"/>
    <mergeCell ref="B33:C33"/>
  </mergeCells>
  <conditionalFormatting sqref="E12:P17">
    <cfRule type="cellIs" dxfId="1" priority="2" operator="greaterThan">
      <formula>0</formula>
    </cfRule>
  </conditionalFormatting>
  <conditionalFormatting sqref="E8:P10 E19:P24 E27:P32">
    <cfRule type="cellIs" dxfId="0" priority="1" operator="greaterThan">
      <formula>0</formula>
    </cfRule>
  </conditionalFormatting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Header>&amp;L&amp;G</oddHeader>
    <oddFooter>&amp;A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546970-FE1A-4360-9B3D-93FCB3B15F6C}">
  <sheetPr>
    <tabColor theme="4" tint="-0.249977111117893"/>
  </sheetPr>
  <dimension ref="A1:P33"/>
  <sheetViews>
    <sheetView showGridLines="0" zoomScale="70" zoomScaleNormal="70" zoomScaleSheetLayoutView="85" zoomScalePageLayoutView="85" workbookViewId="0">
      <selection activeCell="C33" sqref="C33"/>
    </sheetView>
  </sheetViews>
  <sheetFormatPr defaultColWidth="8.7109375" defaultRowHeight="15"/>
  <cols>
    <col min="1" max="1" width="15.140625" style="143" customWidth="1"/>
    <col min="2" max="2" width="9" style="15" bestFit="1" customWidth="1"/>
    <col min="3" max="3" width="80.140625" style="15" customWidth="1"/>
    <col min="4" max="4" width="19.5703125" style="15" customWidth="1"/>
    <col min="5" max="5" width="18.7109375" style="15" customWidth="1"/>
    <col min="6" max="16" width="18.7109375" style="143" customWidth="1"/>
    <col min="17" max="17" width="14.7109375" style="143" customWidth="1"/>
    <col min="18" max="18" width="13.28515625" style="143" customWidth="1"/>
    <col min="19" max="19" width="18.5703125" style="143" customWidth="1"/>
    <col min="20" max="21" width="8.7109375" style="143" customWidth="1"/>
    <col min="22" max="227" width="8.7109375" style="143"/>
    <col min="228" max="228" width="12.7109375" style="143" customWidth="1"/>
    <col min="229" max="229" width="60.28515625" style="143" customWidth="1"/>
    <col min="230" max="231" width="12.7109375" style="143" customWidth="1"/>
    <col min="232" max="232" width="12.28515625" style="143" bestFit="1" customWidth="1"/>
    <col min="233" max="233" width="15.7109375" style="143" customWidth="1"/>
    <col min="234" max="234" width="17.7109375" style="143" bestFit="1" customWidth="1"/>
    <col min="235" max="235" width="8.7109375" style="143"/>
    <col min="236" max="236" width="18" style="143" bestFit="1" customWidth="1"/>
    <col min="237" max="238" width="8.7109375" style="143"/>
    <col min="239" max="239" width="21.7109375" style="143" customWidth="1"/>
    <col min="240" max="240" width="9.42578125" style="143" bestFit="1" customWidth="1"/>
    <col min="241" max="483" width="8.7109375" style="143"/>
    <col min="484" max="484" width="12.7109375" style="143" customWidth="1"/>
    <col min="485" max="485" width="60.28515625" style="143" customWidth="1"/>
    <col min="486" max="487" width="12.7109375" style="143" customWidth="1"/>
    <col min="488" max="488" width="12.28515625" style="143" bestFit="1" customWidth="1"/>
    <col min="489" max="489" width="15.7109375" style="143" customWidth="1"/>
    <col min="490" max="490" width="17.7109375" style="143" bestFit="1" customWidth="1"/>
    <col min="491" max="491" width="8.7109375" style="143"/>
    <col min="492" max="492" width="18" style="143" bestFit="1" customWidth="1"/>
    <col min="493" max="494" width="8.7109375" style="143"/>
    <col min="495" max="495" width="21.7109375" style="143" customWidth="1"/>
    <col min="496" max="496" width="9.42578125" style="143" bestFit="1" customWidth="1"/>
    <col min="497" max="739" width="8.7109375" style="143"/>
    <col min="740" max="740" width="12.7109375" style="143" customWidth="1"/>
    <col min="741" max="741" width="60.28515625" style="143" customWidth="1"/>
    <col min="742" max="743" width="12.7109375" style="143" customWidth="1"/>
    <col min="744" max="744" width="12.28515625" style="143" bestFit="1" customWidth="1"/>
    <col min="745" max="745" width="15.7109375" style="143" customWidth="1"/>
    <col min="746" max="746" width="17.7109375" style="143" bestFit="1" customWidth="1"/>
    <col min="747" max="747" width="8.7109375" style="143"/>
    <col min="748" max="748" width="18" style="143" bestFit="1" customWidth="1"/>
    <col min="749" max="750" width="8.7109375" style="143"/>
    <col min="751" max="751" width="21.7109375" style="143" customWidth="1"/>
    <col min="752" max="752" width="9.42578125" style="143" bestFit="1" customWidth="1"/>
    <col min="753" max="995" width="8.7109375" style="143"/>
    <col min="996" max="996" width="12.7109375" style="143" customWidth="1"/>
    <col min="997" max="997" width="60.28515625" style="143" customWidth="1"/>
    <col min="998" max="999" width="12.7109375" style="143" customWidth="1"/>
    <col min="1000" max="1000" width="12.28515625" style="143" bestFit="1" customWidth="1"/>
    <col min="1001" max="1001" width="15.7109375" style="143" customWidth="1"/>
    <col min="1002" max="1002" width="17.7109375" style="143" bestFit="1" customWidth="1"/>
    <col min="1003" max="1003" width="8.7109375" style="143"/>
    <col min="1004" max="1004" width="18" style="143" bestFit="1" customWidth="1"/>
    <col min="1005" max="1006" width="8.7109375" style="143"/>
    <col min="1007" max="1007" width="21.7109375" style="143" customWidth="1"/>
    <col min="1008" max="1008" width="9.42578125" style="143" bestFit="1" customWidth="1"/>
    <col min="1009" max="1251" width="8.7109375" style="143"/>
    <col min="1252" max="1252" width="12.7109375" style="143" customWidth="1"/>
    <col min="1253" max="1253" width="60.28515625" style="143" customWidth="1"/>
    <col min="1254" max="1255" width="12.7109375" style="143" customWidth="1"/>
    <col min="1256" max="1256" width="12.28515625" style="143" bestFit="1" customWidth="1"/>
    <col min="1257" max="1257" width="15.7109375" style="143" customWidth="1"/>
    <col min="1258" max="1258" width="17.7109375" style="143" bestFit="1" customWidth="1"/>
    <col min="1259" max="1259" width="8.7109375" style="143"/>
    <col min="1260" max="1260" width="18" style="143" bestFit="1" customWidth="1"/>
    <col min="1261" max="1262" width="8.7109375" style="143"/>
    <col min="1263" max="1263" width="21.7109375" style="143" customWidth="1"/>
    <col min="1264" max="1264" width="9.42578125" style="143" bestFit="1" customWidth="1"/>
    <col min="1265" max="1507" width="8.7109375" style="143"/>
    <col min="1508" max="1508" width="12.7109375" style="143" customWidth="1"/>
    <col min="1509" max="1509" width="60.28515625" style="143" customWidth="1"/>
    <col min="1510" max="1511" width="12.7109375" style="143" customWidth="1"/>
    <col min="1512" max="1512" width="12.28515625" style="143" bestFit="1" customWidth="1"/>
    <col min="1513" max="1513" width="15.7109375" style="143" customWidth="1"/>
    <col min="1514" max="1514" width="17.7109375" style="143" bestFit="1" customWidth="1"/>
    <col min="1515" max="1515" width="8.7109375" style="143"/>
    <col min="1516" max="1516" width="18" style="143" bestFit="1" customWidth="1"/>
    <col min="1517" max="1518" width="8.7109375" style="143"/>
    <col min="1519" max="1519" width="21.7109375" style="143" customWidth="1"/>
    <col min="1520" max="1520" width="9.42578125" style="143" bestFit="1" customWidth="1"/>
    <col min="1521" max="1763" width="8.7109375" style="143"/>
    <col min="1764" max="1764" width="12.7109375" style="143" customWidth="1"/>
    <col min="1765" max="1765" width="60.28515625" style="143" customWidth="1"/>
    <col min="1766" max="1767" width="12.7109375" style="143" customWidth="1"/>
    <col min="1768" max="1768" width="12.28515625" style="143" bestFit="1" customWidth="1"/>
    <col min="1769" max="1769" width="15.7109375" style="143" customWidth="1"/>
    <col min="1770" max="1770" width="17.7109375" style="143" bestFit="1" customWidth="1"/>
    <col min="1771" max="1771" width="8.7109375" style="143"/>
    <col min="1772" max="1772" width="18" style="143" bestFit="1" customWidth="1"/>
    <col min="1773" max="1774" width="8.7109375" style="143"/>
    <col min="1775" max="1775" width="21.7109375" style="143" customWidth="1"/>
    <col min="1776" max="1776" width="9.42578125" style="143" bestFit="1" customWidth="1"/>
    <col min="1777" max="2019" width="8.7109375" style="143"/>
    <col min="2020" max="2020" width="12.7109375" style="143" customWidth="1"/>
    <col min="2021" max="2021" width="60.28515625" style="143" customWidth="1"/>
    <col min="2022" max="2023" width="12.7109375" style="143" customWidth="1"/>
    <col min="2024" max="2024" width="12.28515625" style="143" bestFit="1" customWidth="1"/>
    <col min="2025" max="2025" width="15.7109375" style="143" customWidth="1"/>
    <col min="2026" max="2026" width="17.7109375" style="143" bestFit="1" customWidth="1"/>
    <col min="2027" max="2027" width="8.7109375" style="143"/>
    <col min="2028" max="2028" width="18" style="143" bestFit="1" customWidth="1"/>
    <col min="2029" max="2030" width="8.7109375" style="143"/>
    <col min="2031" max="2031" width="21.7109375" style="143" customWidth="1"/>
    <col min="2032" max="2032" width="9.42578125" style="143" bestFit="1" customWidth="1"/>
    <col min="2033" max="2275" width="8.7109375" style="143"/>
    <col min="2276" max="2276" width="12.7109375" style="143" customWidth="1"/>
    <col min="2277" max="2277" width="60.28515625" style="143" customWidth="1"/>
    <col min="2278" max="2279" width="12.7109375" style="143" customWidth="1"/>
    <col min="2280" max="2280" width="12.28515625" style="143" bestFit="1" customWidth="1"/>
    <col min="2281" max="2281" width="15.7109375" style="143" customWidth="1"/>
    <col min="2282" max="2282" width="17.7109375" style="143" bestFit="1" customWidth="1"/>
    <col min="2283" max="2283" width="8.7109375" style="143"/>
    <col min="2284" max="2284" width="18" style="143" bestFit="1" customWidth="1"/>
    <col min="2285" max="2286" width="8.7109375" style="143"/>
    <col min="2287" max="2287" width="21.7109375" style="143" customWidth="1"/>
    <col min="2288" max="2288" width="9.42578125" style="143" bestFit="1" customWidth="1"/>
    <col min="2289" max="2531" width="8.7109375" style="143"/>
    <col min="2532" max="2532" width="12.7109375" style="143" customWidth="1"/>
    <col min="2533" max="2533" width="60.28515625" style="143" customWidth="1"/>
    <col min="2534" max="2535" width="12.7109375" style="143" customWidth="1"/>
    <col min="2536" max="2536" width="12.28515625" style="143" bestFit="1" customWidth="1"/>
    <col min="2537" max="2537" width="15.7109375" style="143" customWidth="1"/>
    <col min="2538" max="2538" width="17.7109375" style="143" bestFit="1" customWidth="1"/>
    <col min="2539" max="2539" width="8.7109375" style="143"/>
    <col min="2540" max="2540" width="18" style="143" bestFit="1" customWidth="1"/>
    <col min="2541" max="2542" width="8.7109375" style="143"/>
    <col min="2543" max="2543" width="21.7109375" style="143" customWidth="1"/>
    <col min="2544" max="2544" width="9.42578125" style="143" bestFit="1" customWidth="1"/>
    <col min="2545" max="2787" width="8.7109375" style="143"/>
    <col min="2788" max="2788" width="12.7109375" style="143" customWidth="1"/>
    <col min="2789" max="2789" width="60.28515625" style="143" customWidth="1"/>
    <col min="2790" max="2791" width="12.7109375" style="143" customWidth="1"/>
    <col min="2792" max="2792" width="12.28515625" style="143" bestFit="1" customWidth="1"/>
    <col min="2793" max="2793" width="15.7109375" style="143" customWidth="1"/>
    <col min="2794" max="2794" width="17.7109375" style="143" bestFit="1" customWidth="1"/>
    <col min="2795" max="2795" width="8.7109375" style="143"/>
    <col min="2796" max="2796" width="18" style="143" bestFit="1" customWidth="1"/>
    <col min="2797" max="2798" width="8.7109375" style="143"/>
    <col min="2799" max="2799" width="21.7109375" style="143" customWidth="1"/>
    <col min="2800" max="2800" width="9.42578125" style="143" bestFit="1" customWidth="1"/>
    <col min="2801" max="3043" width="8.7109375" style="143"/>
    <col min="3044" max="3044" width="12.7109375" style="143" customWidth="1"/>
    <col min="3045" max="3045" width="60.28515625" style="143" customWidth="1"/>
    <col min="3046" max="3047" width="12.7109375" style="143" customWidth="1"/>
    <col min="3048" max="3048" width="12.28515625" style="143" bestFit="1" customWidth="1"/>
    <col min="3049" max="3049" width="15.7109375" style="143" customWidth="1"/>
    <col min="3050" max="3050" width="17.7109375" style="143" bestFit="1" customWidth="1"/>
    <col min="3051" max="3051" width="8.7109375" style="143"/>
    <col min="3052" max="3052" width="18" style="143" bestFit="1" customWidth="1"/>
    <col min="3053" max="3054" width="8.7109375" style="143"/>
    <col min="3055" max="3055" width="21.7109375" style="143" customWidth="1"/>
    <col min="3056" max="3056" width="9.42578125" style="143" bestFit="1" customWidth="1"/>
    <col min="3057" max="3299" width="8.7109375" style="143"/>
    <col min="3300" max="3300" width="12.7109375" style="143" customWidth="1"/>
    <col min="3301" max="3301" width="60.28515625" style="143" customWidth="1"/>
    <col min="3302" max="3303" width="12.7109375" style="143" customWidth="1"/>
    <col min="3304" max="3304" width="12.28515625" style="143" bestFit="1" customWidth="1"/>
    <col min="3305" max="3305" width="15.7109375" style="143" customWidth="1"/>
    <col min="3306" max="3306" width="17.7109375" style="143" bestFit="1" customWidth="1"/>
    <col min="3307" max="3307" width="8.7109375" style="143"/>
    <col min="3308" max="3308" width="18" style="143" bestFit="1" customWidth="1"/>
    <col min="3309" max="3310" width="8.7109375" style="143"/>
    <col min="3311" max="3311" width="21.7109375" style="143" customWidth="1"/>
    <col min="3312" max="3312" width="9.42578125" style="143" bestFit="1" customWidth="1"/>
    <col min="3313" max="3555" width="8.7109375" style="143"/>
    <col min="3556" max="3556" width="12.7109375" style="143" customWidth="1"/>
    <col min="3557" max="3557" width="60.28515625" style="143" customWidth="1"/>
    <col min="3558" max="3559" width="12.7109375" style="143" customWidth="1"/>
    <col min="3560" max="3560" width="12.28515625" style="143" bestFit="1" customWidth="1"/>
    <col min="3561" max="3561" width="15.7109375" style="143" customWidth="1"/>
    <col min="3562" max="3562" width="17.7109375" style="143" bestFit="1" customWidth="1"/>
    <col min="3563" max="3563" width="8.7109375" style="143"/>
    <col min="3564" max="3564" width="18" style="143" bestFit="1" customWidth="1"/>
    <col min="3565" max="3566" width="8.7109375" style="143"/>
    <col min="3567" max="3567" width="21.7109375" style="143" customWidth="1"/>
    <col min="3568" max="3568" width="9.42578125" style="143" bestFit="1" customWidth="1"/>
    <col min="3569" max="3811" width="8.7109375" style="143"/>
    <col min="3812" max="3812" width="12.7109375" style="143" customWidth="1"/>
    <col min="3813" max="3813" width="60.28515625" style="143" customWidth="1"/>
    <col min="3814" max="3815" width="12.7109375" style="143" customWidth="1"/>
    <col min="3816" max="3816" width="12.28515625" style="143" bestFit="1" customWidth="1"/>
    <col min="3817" max="3817" width="15.7109375" style="143" customWidth="1"/>
    <col min="3818" max="3818" width="17.7109375" style="143" bestFit="1" customWidth="1"/>
    <col min="3819" max="3819" width="8.7109375" style="143"/>
    <col min="3820" max="3820" width="18" style="143" bestFit="1" customWidth="1"/>
    <col min="3821" max="3822" width="8.7109375" style="143"/>
    <col min="3823" max="3823" width="21.7109375" style="143" customWidth="1"/>
    <col min="3824" max="3824" width="9.42578125" style="143" bestFit="1" customWidth="1"/>
    <col min="3825" max="4067" width="8.7109375" style="143"/>
    <col min="4068" max="4068" width="12.7109375" style="143" customWidth="1"/>
    <col min="4069" max="4069" width="60.28515625" style="143" customWidth="1"/>
    <col min="4070" max="4071" width="12.7109375" style="143" customWidth="1"/>
    <col min="4072" max="4072" width="12.28515625" style="143" bestFit="1" customWidth="1"/>
    <col min="4073" max="4073" width="15.7109375" style="143" customWidth="1"/>
    <col min="4074" max="4074" width="17.7109375" style="143" bestFit="1" customWidth="1"/>
    <col min="4075" max="4075" width="8.7109375" style="143"/>
    <col min="4076" max="4076" width="18" style="143" bestFit="1" customWidth="1"/>
    <col min="4077" max="4078" width="8.7109375" style="143"/>
    <col min="4079" max="4079" width="21.7109375" style="143" customWidth="1"/>
    <col min="4080" max="4080" width="9.42578125" style="143" bestFit="1" customWidth="1"/>
    <col min="4081" max="4323" width="8.7109375" style="143"/>
    <col min="4324" max="4324" width="12.7109375" style="143" customWidth="1"/>
    <col min="4325" max="4325" width="60.28515625" style="143" customWidth="1"/>
    <col min="4326" max="4327" width="12.7109375" style="143" customWidth="1"/>
    <col min="4328" max="4328" width="12.28515625" style="143" bestFit="1" customWidth="1"/>
    <col min="4329" max="4329" width="15.7109375" style="143" customWidth="1"/>
    <col min="4330" max="4330" width="17.7109375" style="143" bestFit="1" customWidth="1"/>
    <col min="4331" max="4331" width="8.7109375" style="143"/>
    <col min="4332" max="4332" width="18" style="143" bestFit="1" customWidth="1"/>
    <col min="4333" max="4334" width="8.7109375" style="143"/>
    <col min="4335" max="4335" width="21.7109375" style="143" customWidth="1"/>
    <col min="4336" max="4336" width="9.42578125" style="143" bestFit="1" customWidth="1"/>
    <col min="4337" max="4579" width="8.7109375" style="143"/>
    <col min="4580" max="4580" width="12.7109375" style="143" customWidth="1"/>
    <col min="4581" max="4581" width="60.28515625" style="143" customWidth="1"/>
    <col min="4582" max="4583" width="12.7109375" style="143" customWidth="1"/>
    <col min="4584" max="4584" width="12.28515625" style="143" bestFit="1" customWidth="1"/>
    <col min="4585" max="4585" width="15.7109375" style="143" customWidth="1"/>
    <col min="4586" max="4586" width="17.7109375" style="143" bestFit="1" customWidth="1"/>
    <col min="4587" max="4587" width="8.7109375" style="143"/>
    <col min="4588" max="4588" width="18" style="143" bestFit="1" customWidth="1"/>
    <col min="4589" max="4590" width="8.7109375" style="143"/>
    <col min="4591" max="4591" width="21.7109375" style="143" customWidth="1"/>
    <col min="4592" max="4592" width="9.42578125" style="143" bestFit="1" customWidth="1"/>
    <col min="4593" max="4835" width="8.7109375" style="143"/>
    <col min="4836" max="4836" width="12.7109375" style="143" customWidth="1"/>
    <col min="4837" max="4837" width="60.28515625" style="143" customWidth="1"/>
    <col min="4838" max="4839" width="12.7109375" style="143" customWidth="1"/>
    <col min="4840" max="4840" width="12.28515625" style="143" bestFit="1" customWidth="1"/>
    <col min="4841" max="4841" width="15.7109375" style="143" customWidth="1"/>
    <col min="4842" max="4842" width="17.7109375" style="143" bestFit="1" customWidth="1"/>
    <col min="4843" max="4843" width="8.7109375" style="143"/>
    <col min="4844" max="4844" width="18" style="143" bestFit="1" customWidth="1"/>
    <col min="4845" max="4846" width="8.7109375" style="143"/>
    <col min="4847" max="4847" width="21.7109375" style="143" customWidth="1"/>
    <col min="4848" max="4848" width="9.42578125" style="143" bestFit="1" customWidth="1"/>
    <col min="4849" max="5091" width="8.7109375" style="143"/>
    <col min="5092" max="5092" width="12.7109375" style="143" customWidth="1"/>
    <col min="5093" max="5093" width="60.28515625" style="143" customWidth="1"/>
    <col min="5094" max="5095" width="12.7109375" style="143" customWidth="1"/>
    <col min="5096" max="5096" width="12.28515625" style="143" bestFit="1" customWidth="1"/>
    <col min="5097" max="5097" width="15.7109375" style="143" customWidth="1"/>
    <col min="5098" max="5098" width="17.7109375" style="143" bestFit="1" customWidth="1"/>
    <col min="5099" max="5099" width="8.7109375" style="143"/>
    <col min="5100" max="5100" width="18" style="143" bestFit="1" customWidth="1"/>
    <col min="5101" max="5102" width="8.7109375" style="143"/>
    <col min="5103" max="5103" width="21.7109375" style="143" customWidth="1"/>
    <col min="5104" max="5104" width="9.42578125" style="143" bestFit="1" customWidth="1"/>
    <col min="5105" max="5347" width="8.7109375" style="143"/>
    <col min="5348" max="5348" width="12.7109375" style="143" customWidth="1"/>
    <col min="5349" max="5349" width="60.28515625" style="143" customWidth="1"/>
    <col min="5350" max="5351" width="12.7109375" style="143" customWidth="1"/>
    <col min="5352" max="5352" width="12.28515625" style="143" bestFit="1" customWidth="1"/>
    <col min="5353" max="5353" width="15.7109375" style="143" customWidth="1"/>
    <col min="5354" max="5354" width="17.7109375" style="143" bestFit="1" customWidth="1"/>
    <col min="5355" max="5355" width="8.7109375" style="143"/>
    <col min="5356" max="5356" width="18" style="143" bestFit="1" customWidth="1"/>
    <col min="5357" max="5358" width="8.7109375" style="143"/>
    <col min="5359" max="5359" width="21.7109375" style="143" customWidth="1"/>
    <col min="5360" max="5360" width="9.42578125" style="143" bestFit="1" customWidth="1"/>
    <col min="5361" max="5603" width="8.7109375" style="143"/>
    <col min="5604" max="5604" width="12.7109375" style="143" customWidth="1"/>
    <col min="5605" max="5605" width="60.28515625" style="143" customWidth="1"/>
    <col min="5606" max="5607" width="12.7109375" style="143" customWidth="1"/>
    <col min="5608" max="5608" width="12.28515625" style="143" bestFit="1" customWidth="1"/>
    <col min="5609" max="5609" width="15.7109375" style="143" customWidth="1"/>
    <col min="5610" max="5610" width="17.7109375" style="143" bestFit="1" customWidth="1"/>
    <col min="5611" max="5611" width="8.7109375" style="143"/>
    <col min="5612" max="5612" width="18" style="143" bestFit="1" customWidth="1"/>
    <col min="5613" max="5614" width="8.7109375" style="143"/>
    <col min="5615" max="5615" width="21.7109375" style="143" customWidth="1"/>
    <col min="5616" max="5616" width="9.42578125" style="143" bestFit="1" customWidth="1"/>
    <col min="5617" max="5859" width="8.7109375" style="143"/>
    <col min="5860" max="5860" width="12.7109375" style="143" customWidth="1"/>
    <col min="5861" max="5861" width="60.28515625" style="143" customWidth="1"/>
    <col min="5862" max="5863" width="12.7109375" style="143" customWidth="1"/>
    <col min="5864" max="5864" width="12.28515625" style="143" bestFit="1" customWidth="1"/>
    <col min="5865" max="5865" width="15.7109375" style="143" customWidth="1"/>
    <col min="5866" max="5866" width="17.7109375" style="143" bestFit="1" customWidth="1"/>
    <col min="5867" max="5867" width="8.7109375" style="143"/>
    <col min="5868" max="5868" width="18" style="143" bestFit="1" customWidth="1"/>
    <col min="5869" max="5870" width="8.7109375" style="143"/>
    <col min="5871" max="5871" width="21.7109375" style="143" customWidth="1"/>
    <col min="5872" max="5872" width="9.42578125" style="143" bestFit="1" customWidth="1"/>
    <col min="5873" max="6115" width="8.7109375" style="143"/>
    <col min="6116" max="6116" width="12.7109375" style="143" customWidth="1"/>
    <col min="6117" max="6117" width="60.28515625" style="143" customWidth="1"/>
    <col min="6118" max="6119" width="12.7109375" style="143" customWidth="1"/>
    <col min="6120" max="6120" width="12.28515625" style="143" bestFit="1" customWidth="1"/>
    <col min="6121" max="6121" width="15.7109375" style="143" customWidth="1"/>
    <col min="6122" max="6122" width="17.7109375" style="143" bestFit="1" customWidth="1"/>
    <col min="6123" max="6123" width="8.7109375" style="143"/>
    <col min="6124" max="6124" width="18" style="143" bestFit="1" customWidth="1"/>
    <col min="6125" max="6126" width="8.7109375" style="143"/>
    <col min="6127" max="6127" width="21.7109375" style="143" customWidth="1"/>
    <col min="6128" max="6128" width="9.42578125" style="143" bestFit="1" customWidth="1"/>
    <col min="6129" max="6371" width="8.7109375" style="143"/>
    <col min="6372" max="6372" width="12.7109375" style="143" customWidth="1"/>
    <col min="6373" max="6373" width="60.28515625" style="143" customWidth="1"/>
    <col min="6374" max="6375" width="12.7109375" style="143" customWidth="1"/>
    <col min="6376" max="6376" width="12.28515625" style="143" bestFit="1" customWidth="1"/>
    <col min="6377" max="6377" width="15.7109375" style="143" customWidth="1"/>
    <col min="6378" max="6378" width="17.7109375" style="143" bestFit="1" customWidth="1"/>
    <col min="6379" max="6379" width="8.7109375" style="143"/>
    <col min="6380" max="6380" width="18" style="143" bestFit="1" customWidth="1"/>
    <col min="6381" max="6382" width="8.7109375" style="143"/>
    <col min="6383" max="6383" width="21.7109375" style="143" customWidth="1"/>
    <col min="6384" max="6384" width="9.42578125" style="143" bestFit="1" customWidth="1"/>
    <col min="6385" max="6627" width="8.7109375" style="143"/>
    <col min="6628" max="6628" width="12.7109375" style="143" customWidth="1"/>
    <col min="6629" max="6629" width="60.28515625" style="143" customWidth="1"/>
    <col min="6630" max="6631" width="12.7109375" style="143" customWidth="1"/>
    <col min="6632" max="6632" width="12.28515625" style="143" bestFit="1" customWidth="1"/>
    <col min="6633" max="6633" width="15.7109375" style="143" customWidth="1"/>
    <col min="6634" max="6634" width="17.7109375" style="143" bestFit="1" customWidth="1"/>
    <col min="6635" max="6635" width="8.7109375" style="143"/>
    <col min="6636" max="6636" width="18" style="143" bestFit="1" customWidth="1"/>
    <col min="6637" max="6638" width="8.7109375" style="143"/>
    <col min="6639" max="6639" width="21.7109375" style="143" customWidth="1"/>
    <col min="6640" max="6640" width="9.42578125" style="143" bestFit="1" customWidth="1"/>
    <col min="6641" max="6883" width="8.7109375" style="143"/>
    <col min="6884" max="6884" width="12.7109375" style="143" customWidth="1"/>
    <col min="6885" max="6885" width="60.28515625" style="143" customWidth="1"/>
    <col min="6886" max="6887" width="12.7109375" style="143" customWidth="1"/>
    <col min="6888" max="6888" width="12.28515625" style="143" bestFit="1" customWidth="1"/>
    <col min="6889" max="6889" width="15.7109375" style="143" customWidth="1"/>
    <col min="6890" max="6890" width="17.7109375" style="143" bestFit="1" customWidth="1"/>
    <col min="6891" max="6891" width="8.7109375" style="143"/>
    <col min="6892" max="6892" width="18" style="143" bestFit="1" customWidth="1"/>
    <col min="6893" max="6894" width="8.7109375" style="143"/>
    <col min="6895" max="6895" width="21.7109375" style="143" customWidth="1"/>
    <col min="6896" max="6896" width="9.42578125" style="143" bestFit="1" customWidth="1"/>
    <col min="6897" max="7139" width="8.7109375" style="143"/>
    <col min="7140" max="7140" width="12.7109375" style="143" customWidth="1"/>
    <col min="7141" max="7141" width="60.28515625" style="143" customWidth="1"/>
    <col min="7142" max="7143" width="12.7109375" style="143" customWidth="1"/>
    <col min="7144" max="7144" width="12.28515625" style="143" bestFit="1" customWidth="1"/>
    <col min="7145" max="7145" width="15.7109375" style="143" customWidth="1"/>
    <col min="7146" max="7146" width="17.7109375" style="143" bestFit="1" customWidth="1"/>
    <col min="7147" max="7147" width="8.7109375" style="143"/>
    <col min="7148" max="7148" width="18" style="143" bestFit="1" customWidth="1"/>
    <col min="7149" max="7150" width="8.7109375" style="143"/>
    <col min="7151" max="7151" width="21.7109375" style="143" customWidth="1"/>
    <col min="7152" max="7152" width="9.42578125" style="143" bestFit="1" customWidth="1"/>
    <col min="7153" max="7395" width="8.7109375" style="143"/>
    <col min="7396" max="7396" width="12.7109375" style="143" customWidth="1"/>
    <col min="7397" max="7397" width="60.28515625" style="143" customWidth="1"/>
    <col min="7398" max="7399" width="12.7109375" style="143" customWidth="1"/>
    <col min="7400" max="7400" width="12.28515625" style="143" bestFit="1" customWidth="1"/>
    <col min="7401" max="7401" width="15.7109375" style="143" customWidth="1"/>
    <col min="7402" max="7402" width="17.7109375" style="143" bestFit="1" customWidth="1"/>
    <col min="7403" max="7403" width="8.7109375" style="143"/>
    <col min="7404" max="7404" width="18" style="143" bestFit="1" customWidth="1"/>
    <col min="7405" max="7406" width="8.7109375" style="143"/>
    <col min="7407" max="7407" width="21.7109375" style="143" customWidth="1"/>
    <col min="7408" max="7408" width="9.42578125" style="143" bestFit="1" customWidth="1"/>
    <col min="7409" max="7651" width="8.7109375" style="143"/>
    <col min="7652" max="7652" width="12.7109375" style="143" customWidth="1"/>
    <col min="7653" max="7653" width="60.28515625" style="143" customWidth="1"/>
    <col min="7654" max="7655" width="12.7109375" style="143" customWidth="1"/>
    <col min="7656" max="7656" width="12.28515625" style="143" bestFit="1" customWidth="1"/>
    <col min="7657" max="7657" width="15.7109375" style="143" customWidth="1"/>
    <col min="7658" max="7658" width="17.7109375" style="143" bestFit="1" customWidth="1"/>
    <col min="7659" max="7659" width="8.7109375" style="143"/>
    <col min="7660" max="7660" width="18" style="143" bestFit="1" customWidth="1"/>
    <col min="7661" max="7662" width="8.7109375" style="143"/>
    <col min="7663" max="7663" width="21.7109375" style="143" customWidth="1"/>
    <col min="7664" max="7664" width="9.42578125" style="143" bestFit="1" customWidth="1"/>
    <col min="7665" max="7907" width="8.7109375" style="143"/>
    <col min="7908" max="7908" width="12.7109375" style="143" customWidth="1"/>
    <col min="7909" max="7909" width="60.28515625" style="143" customWidth="1"/>
    <col min="7910" max="7911" width="12.7109375" style="143" customWidth="1"/>
    <col min="7912" max="7912" width="12.28515625" style="143" bestFit="1" customWidth="1"/>
    <col min="7913" max="7913" width="15.7109375" style="143" customWidth="1"/>
    <col min="7914" max="7914" width="17.7109375" style="143" bestFit="1" customWidth="1"/>
    <col min="7915" max="7915" width="8.7109375" style="143"/>
    <col min="7916" max="7916" width="18" style="143" bestFit="1" customWidth="1"/>
    <col min="7917" max="7918" width="8.7109375" style="143"/>
    <col min="7919" max="7919" width="21.7109375" style="143" customWidth="1"/>
    <col min="7920" max="7920" width="9.42578125" style="143" bestFit="1" customWidth="1"/>
    <col min="7921" max="8163" width="8.7109375" style="143"/>
    <col min="8164" max="8164" width="12.7109375" style="143" customWidth="1"/>
    <col min="8165" max="8165" width="60.28515625" style="143" customWidth="1"/>
    <col min="8166" max="8167" width="12.7109375" style="143" customWidth="1"/>
    <col min="8168" max="8168" width="12.28515625" style="143" bestFit="1" customWidth="1"/>
    <col min="8169" max="8169" width="15.7109375" style="143" customWidth="1"/>
    <col min="8170" max="8170" width="17.7109375" style="143" bestFit="1" customWidth="1"/>
    <col min="8171" max="8171" width="8.7109375" style="143"/>
    <col min="8172" max="8172" width="18" style="143" bestFit="1" customWidth="1"/>
    <col min="8173" max="8174" width="8.7109375" style="143"/>
    <col min="8175" max="8175" width="21.7109375" style="143" customWidth="1"/>
    <col min="8176" max="8176" width="9.42578125" style="143" bestFit="1" customWidth="1"/>
    <col min="8177" max="8419" width="8.7109375" style="143"/>
    <col min="8420" max="8420" width="12.7109375" style="143" customWidth="1"/>
    <col min="8421" max="8421" width="60.28515625" style="143" customWidth="1"/>
    <col min="8422" max="8423" width="12.7109375" style="143" customWidth="1"/>
    <col min="8424" max="8424" width="12.28515625" style="143" bestFit="1" customWidth="1"/>
    <col min="8425" max="8425" width="15.7109375" style="143" customWidth="1"/>
    <col min="8426" max="8426" width="17.7109375" style="143" bestFit="1" customWidth="1"/>
    <col min="8427" max="8427" width="8.7109375" style="143"/>
    <col min="8428" max="8428" width="18" style="143" bestFit="1" customWidth="1"/>
    <col min="8429" max="8430" width="8.7109375" style="143"/>
    <col min="8431" max="8431" width="21.7109375" style="143" customWidth="1"/>
    <col min="8432" max="8432" width="9.42578125" style="143" bestFit="1" customWidth="1"/>
    <col min="8433" max="8675" width="8.7109375" style="143"/>
    <col min="8676" max="8676" width="12.7109375" style="143" customWidth="1"/>
    <col min="8677" max="8677" width="60.28515625" style="143" customWidth="1"/>
    <col min="8678" max="8679" width="12.7109375" style="143" customWidth="1"/>
    <col min="8680" max="8680" width="12.28515625" style="143" bestFit="1" customWidth="1"/>
    <col min="8681" max="8681" width="15.7109375" style="143" customWidth="1"/>
    <col min="8682" max="8682" width="17.7109375" style="143" bestFit="1" customWidth="1"/>
    <col min="8683" max="8683" width="8.7109375" style="143"/>
    <col min="8684" max="8684" width="18" style="143" bestFit="1" customWidth="1"/>
    <col min="8685" max="8686" width="8.7109375" style="143"/>
    <col min="8687" max="8687" width="21.7109375" style="143" customWidth="1"/>
    <col min="8688" max="8688" width="9.42578125" style="143" bestFit="1" customWidth="1"/>
    <col min="8689" max="8931" width="8.7109375" style="143"/>
    <col min="8932" max="8932" width="12.7109375" style="143" customWidth="1"/>
    <col min="8933" max="8933" width="60.28515625" style="143" customWidth="1"/>
    <col min="8934" max="8935" width="12.7109375" style="143" customWidth="1"/>
    <col min="8936" max="8936" width="12.28515625" style="143" bestFit="1" customWidth="1"/>
    <col min="8937" max="8937" width="15.7109375" style="143" customWidth="1"/>
    <col min="8938" max="8938" width="17.7109375" style="143" bestFit="1" customWidth="1"/>
    <col min="8939" max="8939" width="8.7109375" style="143"/>
    <col min="8940" max="8940" width="18" style="143" bestFit="1" customWidth="1"/>
    <col min="8941" max="8942" width="8.7109375" style="143"/>
    <col min="8943" max="8943" width="21.7109375" style="143" customWidth="1"/>
    <col min="8944" max="8944" width="9.42578125" style="143" bestFit="1" customWidth="1"/>
    <col min="8945" max="9187" width="8.7109375" style="143"/>
    <col min="9188" max="9188" width="12.7109375" style="143" customWidth="1"/>
    <col min="9189" max="9189" width="60.28515625" style="143" customWidth="1"/>
    <col min="9190" max="9191" width="12.7109375" style="143" customWidth="1"/>
    <col min="9192" max="9192" width="12.28515625" style="143" bestFit="1" customWidth="1"/>
    <col min="9193" max="9193" width="15.7109375" style="143" customWidth="1"/>
    <col min="9194" max="9194" width="17.7109375" style="143" bestFit="1" customWidth="1"/>
    <col min="9195" max="9195" width="8.7109375" style="143"/>
    <col min="9196" max="9196" width="18" style="143" bestFit="1" customWidth="1"/>
    <col min="9197" max="9198" width="8.7109375" style="143"/>
    <col min="9199" max="9199" width="21.7109375" style="143" customWidth="1"/>
    <col min="9200" max="9200" width="9.42578125" style="143" bestFit="1" customWidth="1"/>
    <col min="9201" max="9443" width="8.7109375" style="143"/>
    <col min="9444" max="9444" width="12.7109375" style="143" customWidth="1"/>
    <col min="9445" max="9445" width="60.28515625" style="143" customWidth="1"/>
    <col min="9446" max="9447" width="12.7109375" style="143" customWidth="1"/>
    <col min="9448" max="9448" width="12.28515625" style="143" bestFit="1" customWidth="1"/>
    <col min="9449" max="9449" width="15.7109375" style="143" customWidth="1"/>
    <col min="9450" max="9450" width="17.7109375" style="143" bestFit="1" customWidth="1"/>
    <col min="9451" max="9451" width="8.7109375" style="143"/>
    <col min="9452" max="9452" width="18" style="143" bestFit="1" customWidth="1"/>
    <col min="9453" max="9454" width="8.7109375" style="143"/>
    <col min="9455" max="9455" width="21.7109375" style="143" customWidth="1"/>
    <col min="9456" max="9456" width="9.42578125" style="143" bestFit="1" customWidth="1"/>
    <col min="9457" max="9699" width="8.7109375" style="143"/>
    <col min="9700" max="9700" width="12.7109375" style="143" customWidth="1"/>
    <col min="9701" max="9701" width="60.28515625" style="143" customWidth="1"/>
    <col min="9702" max="9703" width="12.7109375" style="143" customWidth="1"/>
    <col min="9704" max="9704" width="12.28515625" style="143" bestFit="1" customWidth="1"/>
    <col min="9705" max="9705" width="15.7109375" style="143" customWidth="1"/>
    <col min="9706" max="9706" width="17.7109375" style="143" bestFit="1" customWidth="1"/>
    <col min="9707" max="9707" width="8.7109375" style="143"/>
    <col min="9708" max="9708" width="18" style="143" bestFit="1" customWidth="1"/>
    <col min="9709" max="9710" width="8.7109375" style="143"/>
    <col min="9711" max="9711" width="21.7109375" style="143" customWidth="1"/>
    <col min="9712" max="9712" width="9.42578125" style="143" bestFit="1" customWidth="1"/>
    <col min="9713" max="9955" width="8.7109375" style="143"/>
    <col min="9956" max="9956" width="12.7109375" style="143" customWidth="1"/>
    <col min="9957" max="9957" width="60.28515625" style="143" customWidth="1"/>
    <col min="9958" max="9959" width="12.7109375" style="143" customWidth="1"/>
    <col min="9960" max="9960" width="12.28515625" style="143" bestFit="1" customWidth="1"/>
    <col min="9961" max="9961" width="15.7109375" style="143" customWidth="1"/>
    <col min="9962" max="9962" width="17.7109375" style="143" bestFit="1" customWidth="1"/>
    <col min="9963" max="9963" width="8.7109375" style="143"/>
    <col min="9964" max="9964" width="18" style="143" bestFit="1" customWidth="1"/>
    <col min="9965" max="9966" width="8.7109375" style="143"/>
    <col min="9967" max="9967" width="21.7109375" style="143" customWidth="1"/>
    <col min="9968" max="9968" width="9.42578125" style="143" bestFit="1" customWidth="1"/>
    <col min="9969" max="10211" width="8.7109375" style="143"/>
    <col min="10212" max="10212" width="12.7109375" style="143" customWidth="1"/>
    <col min="10213" max="10213" width="60.28515625" style="143" customWidth="1"/>
    <col min="10214" max="10215" width="12.7109375" style="143" customWidth="1"/>
    <col min="10216" max="10216" width="12.28515625" style="143" bestFit="1" customWidth="1"/>
    <col min="10217" max="10217" width="15.7109375" style="143" customWidth="1"/>
    <col min="10218" max="10218" width="17.7109375" style="143" bestFit="1" customWidth="1"/>
    <col min="10219" max="10219" width="8.7109375" style="143"/>
    <col min="10220" max="10220" width="18" style="143" bestFit="1" customWidth="1"/>
    <col min="10221" max="10222" width="8.7109375" style="143"/>
    <col min="10223" max="10223" width="21.7109375" style="143" customWidth="1"/>
    <col min="10224" max="10224" width="9.42578125" style="143" bestFit="1" customWidth="1"/>
    <col min="10225" max="10467" width="8.7109375" style="143"/>
    <col min="10468" max="10468" width="12.7109375" style="143" customWidth="1"/>
    <col min="10469" max="10469" width="60.28515625" style="143" customWidth="1"/>
    <col min="10470" max="10471" width="12.7109375" style="143" customWidth="1"/>
    <col min="10472" max="10472" width="12.28515625" style="143" bestFit="1" customWidth="1"/>
    <col min="10473" max="10473" width="15.7109375" style="143" customWidth="1"/>
    <col min="10474" max="10474" width="17.7109375" style="143" bestFit="1" customWidth="1"/>
    <col min="10475" max="10475" width="8.7109375" style="143"/>
    <col min="10476" max="10476" width="18" style="143" bestFit="1" customWidth="1"/>
    <col min="10477" max="10478" width="8.7109375" style="143"/>
    <col min="10479" max="10479" width="21.7109375" style="143" customWidth="1"/>
    <col min="10480" max="10480" width="9.42578125" style="143" bestFit="1" customWidth="1"/>
    <col min="10481" max="10723" width="8.7109375" style="143"/>
    <col min="10724" max="10724" width="12.7109375" style="143" customWidth="1"/>
    <col min="10725" max="10725" width="60.28515625" style="143" customWidth="1"/>
    <col min="10726" max="10727" width="12.7109375" style="143" customWidth="1"/>
    <col min="10728" max="10728" width="12.28515625" style="143" bestFit="1" customWidth="1"/>
    <col min="10729" max="10729" width="15.7109375" style="143" customWidth="1"/>
    <col min="10730" max="10730" width="17.7109375" style="143" bestFit="1" customWidth="1"/>
    <col min="10731" max="10731" width="8.7109375" style="143"/>
    <col min="10732" max="10732" width="18" style="143" bestFit="1" customWidth="1"/>
    <col min="10733" max="10734" width="8.7109375" style="143"/>
    <col min="10735" max="10735" width="21.7109375" style="143" customWidth="1"/>
    <col min="10736" max="10736" width="9.42578125" style="143" bestFit="1" customWidth="1"/>
    <col min="10737" max="10979" width="8.7109375" style="143"/>
    <col min="10980" max="10980" width="12.7109375" style="143" customWidth="1"/>
    <col min="10981" max="10981" width="60.28515625" style="143" customWidth="1"/>
    <col min="10982" max="10983" width="12.7109375" style="143" customWidth="1"/>
    <col min="10984" max="10984" width="12.28515625" style="143" bestFit="1" customWidth="1"/>
    <col min="10985" max="10985" width="15.7109375" style="143" customWidth="1"/>
    <col min="10986" max="10986" width="17.7109375" style="143" bestFit="1" customWidth="1"/>
    <col min="10987" max="10987" width="8.7109375" style="143"/>
    <col min="10988" max="10988" width="18" style="143" bestFit="1" customWidth="1"/>
    <col min="10989" max="10990" width="8.7109375" style="143"/>
    <col min="10991" max="10991" width="21.7109375" style="143" customWidth="1"/>
    <col min="10992" max="10992" width="9.42578125" style="143" bestFit="1" customWidth="1"/>
    <col min="10993" max="11235" width="8.7109375" style="143"/>
    <col min="11236" max="11236" width="12.7109375" style="143" customWidth="1"/>
    <col min="11237" max="11237" width="60.28515625" style="143" customWidth="1"/>
    <col min="11238" max="11239" width="12.7109375" style="143" customWidth="1"/>
    <col min="11240" max="11240" width="12.28515625" style="143" bestFit="1" customWidth="1"/>
    <col min="11241" max="11241" width="15.7109375" style="143" customWidth="1"/>
    <col min="11242" max="11242" width="17.7109375" style="143" bestFit="1" customWidth="1"/>
    <col min="11243" max="11243" width="8.7109375" style="143"/>
    <col min="11244" max="11244" width="18" style="143" bestFit="1" customWidth="1"/>
    <col min="11245" max="11246" width="8.7109375" style="143"/>
    <col min="11247" max="11247" width="21.7109375" style="143" customWidth="1"/>
    <col min="11248" max="11248" width="9.42578125" style="143" bestFit="1" customWidth="1"/>
    <col min="11249" max="11491" width="8.7109375" style="143"/>
    <col min="11492" max="11492" width="12.7109375" style="143" customWidth="1"/>
    <col min="11493" max="11493" width="60.28515625" style="143" customWidth="1"/>
    <col min="11494" max="11495" width="12.7109375" style="143" customWidth="1"/>
    <col min="11496" max="11496" width="12.28515625" style="143" bestFit="1" customWidth="1"/>
    <col min="11497" max="11497" width="15.7109375" style="143" customWidth="1"/>
    <col min="11498" max="11498" width="17.7109375" style="143" bestFit="1" customWidth="1"/>
    <col min="11499" max="11499" width="8.7109375" style="143"/>
    <col min="11500" max="11500" width="18" style="143" bestFit="1" customWidth="1"/>
    <col min="11501" max="11502" width="8.7109375" style="143"/>
    <col min="11503" max="11503" width="21.7109375" style="143" customWidth="1"/>
    <col min="11504" max="11504" width="9.42578125" style="143" bestFit="1" customWidth="1"/>
    <col min="11505" max="11747" width="8.7109375" style="143"/>
    <col min="11748" max="11748" width="12.7109375" style="143" customWidth="1"/>
    <col min="11749" max="11749" width="60.28515625" style="143" customWidth="1"/>
    <col min="11750" max="11751" width="12.7109375" style="143" customWidth="1"/>
    <col min="11752" max="11752" width="12.28515625" style="143" bestFit="1" customWidth="1"/>
    <col min="11753" max="11753" width="15.7109375" style="143" customWidth="1"/>
    <col min="11754" max="11754" width="17.7109375" style="143" bestFit="1" customWidth="1"/>
    <col min="11755" max="11755" width="8.7109375" style="143"/>
    <col min="11756" max="11756" width="18" style="143" bestFit="1" customWidth="1"/>
    <col min="11757" max="11758" width="8.7109375" style="143"/>
    <col min="11759" max="11759" width="21.7109375" style="143" customWidth="1"/>
    <col min="11760" max="11760" width="9.42578125" style="143" bestFit="1" customWidth="1"/>
    <col min="11761" max="12003" width="8.7109375" style="143"/>
    <col min="12004" max="12004" width="12.7109375" style="143" customWidth="1"/>
    <col min="12005" max="12005" width="60.28515625" style="143" customWidth="1"/>
    <col min="12006" max="12007" width="12.7109375" style="143" customWidth="1"/>
    <col min="12008" max="12008" width="12.28515625" style="143" bestFit="1" customWidth="1"/>
    <col min="12009" max="12009" width="15.7109375" style="143" customWidth="1"/>
    <col min="12010" max="12010" width="17.7109375" style="143" bestFit="1" customWidth="1"/>
    <col min="12011" max="12011" width="8.7109375" style="143"/>
    <col min="12012" max="12012" width="18" style="143" bestFit="1" customWidth="1"/>
    <col min="12013" max="12014" width="8.7109375" style="143"/>
    <col min="12015" max="12015" width="21.7109375" style="143" customWidth="1"/>
    <col min="12016" max="12016" width="9.42578125" style="143" bestFit="1" customWidth="1"/>
    <col min="12017" max="12259" width="8.7109375" style="143"/>
    <col min="12260" max="12260" width="12.7109375" style="143" customWidth="1"/>
    <col min="12261" max="12261" width="60.28515625" style="143" customWidth="1"/>
    <col min="12262" max="12263" width="12.7109375" style="143" customWidth="1"/>
    <col min="12264" max="12264" width="12.28515625" style="143" bestFit="1" customWidth="1"/>
    <col min="12265" max="12265" width="15.7109375" style="143" customWidth="1"/>
    <col min="12266" max="12266" width="17.7109375" style="143" bestFit="1" customWidth="1"/>
    <col min="12267" max="12267" width="8.7109375" style="143"/>
    <col min="12268" max="12268" width="18" style="143" bestFit="1" customWidth="1"/>
    <col min="12269" max="12270" width="8.7109375" style="143"/>
    <col min="12271" max="12271" width="21.7109375" style="143" customWidth="1"/>
    <col min="12272" max="12272" width="9.42578125" style="143" bestFit="1" customWidth="1"/>
    <col min="12273" max="12515" width="8.7109375" style="143"/>
    <col min="12516" max="12516" width="12.7109375" style="143" customWidth="1"/>
    <col min="12517" max="12517" width="60.28515625" style="143" customWidth="1"/>
    <col min="12518" max="12519" width="12.7109375" style="143" customWidth="1"/>
    <col min="12520" max="12520" width="12.28515625" style="143" bestFit="1" customWidth="1"/>
    <col min="12521" max="12521" width="15.7109375" style="143" customWidth="1"/>
    <col min="12522" max="12522" width="17.7109375" style="143" bestFit="1" customWidth="1"/>
    <col min="12523" max="12523" width="8.7109375" style="143"/>
    <col min="12524" max="12524" width="18" style="143" bestFit="1" customWidth="1"/>
    <col min="12525" max="12526" width="8.7109375" style="143"/>
    <col min="12527" max="12527" width="21.7109375" style="143" customWidth="1"/>
    <col min="12528" max="12528" width="9.42578125" style="143" bestFit="1" customWidth="1"/>
    <col min="12529" max="12771" width="8.7109375" style="143"/>
    <col min="12772" max="12772" width="12.7109375" style="143" customWidth="1"/>
    <col min="12773" max="12773" width="60.28515625" style="143" customWidth="1"/>
    <col min="12774" max="12775" width="12.7109375" style="143" customWidth="1"/>
    <col min="12776" max="12776" width="12.28515625" style="143" bestFit="1" customWidth="1"/>
    <col min="12777" max="12777" width="15.7109375" style="143" customWidth="1"/>
    <col min="12778" max="12778" width="17.7109375" style="143" bestFit="1" customWidth="1"/>
    <col min="12779" max="12779" width="8.7109375" style="143"/>
    <col min="12780" max="12780" width="18" style="143" bestFit="1" customWidth="1"/>
    <col min="12781" max="12782" width="8.7109375" style="143"/>
    <col min="12783" max="12783" width="21.7109375" style="143" customWidth="1"/>
    <col min="12784" max="12784" width="9.42578125" style="143" bestFit="1" customWidth="1"/>
    <col min="12785" max="13027" width="8.7109375" style="143"/>
    <col min="13028" max="13028" width="12.7109375" style="143" customWidth="1"/>
    <col min="13029" max="13029" width="60.28515625" style="143" customWidth="1"/>
    <col min="13030" max="13031" width="12.7109375" style="143" customWidth="1"/>
    <col min="13032" max="13032" width="12.28515625" style="143" bestFit="1" customWidth="1"/>
    <col min="13033" max="13033" width="15.7109375" style="143" customWidth="1"/>
    <col min="13034" max="13034" width="17.7109375" style="143" bestFit="1" customWidth="1"/>
    <col min="13035" max="13035" width="8.7109375" style="143"/>
    <col min="13036" max="13036" width="18" style="143" bestFit="1" customWidth="1"/>
    <col min="13037" max="13038" width="8.7109375" style="143"/>
    <col min="13039" max="13039" width="21.7109375" style="143" customWidth="1"/>
    <col min="13040" max="13040" width="9.42578125" style="143" bestFit="1" customWidth="1"/>
    <col min="13041" max="13283" width="8.7109375" style="143"/>
    <col min="13284" max="13284" width="12.7109375" style="143" customWidth="1"/>
    <col min="13285" max="13285" width="60.28515625" style="143" customWidth="1"/>
    <col min="13286" max="13287" width="12.7109375" style="143" customWidth="1"/>
    <col min="13288" max="13288" width="12.28515625" style="143" bestFit="1" customWidth="1"/>
    <col min="13289" max="13289" width="15.7109375" style="143" customWidth="1"/>
    <col min="13290" max="13290" width="17.7109375" style="143" bestFit="1" customWidth="1"/>
    <col min="13291" max="13291" width="8.7109375" style="143"/>
    <col min="13292" max="13292" width="18" style="143" bestFit="1" customWidth="1"/>
    <col min="13293" max="13294" width="8.7109375" style="143"/>
    <col min="13295" max="13295" width="21.7109375" style="143" customWidth="1"/>
    <col min="13296" max="13296" width="9.42578125" style="143" bestFit="1" customWidth="1"/>
    <col min="13297" max="13539" width="8.7109375" style="143"/>
    <col min="13540" max="13540" width="12.7109375" style="143" customWidth="1"/>
    <col min="13541" max="13541" width="60.28515625" style="143" customWidth="1"/>
    <col min="13542" max="13543" width="12.7109375" style="143" customWidth="1"/>
    <col min="13544" max="13544" width="12.28515625" style="143" bestFit="1" customWidth="1"/>
    <col min="13545" max="13545" width="15.7109375" style="143" customWidth="1"/>
    <col min="13546" max="13546" width="17.7109375" style="143" bestFit="1" customWidth="1"/>
    <col min="13547" max="13547" width="8.7109375" style="143"/>
    <col min="13548" max="13548" width="18" style="143" bestFit="1" customWidth="1"/>
    <col min="13549" max="13550" width="8.7109375" style="143"/>
    <col min="13551" max="13551" width="21.7109375" style="143" customWidth="1"/>
    <col min="13552" max="13552" width="9.42578125" style="143" bestFit="1" customWidth="1"/>
    <col min="13553" max="13795" width="8.7109375" style="143"/>
    <col min="13796" max="13796" width="12.7109375" style="143" customWidth="1"/>
    <col min="13797" max="13797" width="60.28515625" style="143" customWidth="1"/>
    <col min="13798" max="13799" width="12.7109375" style="143" customWidth="1"/>
    <col min="13800" max="13800" width="12.28515625" style="143" bestFit="1" customWidth="1"/>
    <col min="13801" max="13801" width="15.7109375" style="143" customWidth="1"/>
    <col min="13802" max="13802" width="17.7109375" style="143" bestFit="1" customWidth="1"/>
    <col min="13803" max="13803" width="8.7109375" style="143"/>
    <col min="13804" max="13804" width="18" style="143" bestFit="1" customWidth="1"/>
    <col min="13805" max="13806" width="8.7109375" style="143"/>
    <col min="13807" max="13807" width="21.7109375" style="143" customWidth="1"/>
    <col min="13808" max="13808" width="9.42578125" style="143" bestFit="1" customWidth="1"/>
    <col min="13809" max="14051" width="8.7109375" style="143"/>
    <col min="14052" max="14052" width="12.7109375" style="143" customWidth="1"/>
    <col min="14053" max="14053" width="60.28515625" style="143" customWidth="1"/>
    <col min="14054" max="14055" width="12.7109375" style="143" customWidth="1"/>
    <col min="14056" max="14056" width="12.28515625" style="143" bestFit="1" customWidth="1"/>
    <col min="14057" max="14057" width="15.7109375" style="143" customWidth="1"/>
    <col min="14058" max="14058" width="17.7109375" style="143" bestFit="1" customWidth="1"/>
    <col min="14059" max="14059" width="8.7109375" style="143"/>
    <col min="14060" max="14060" width="18" style="143" bestFit="1" customWidth="1"/>
    <col min="14061" max="14062" width="8.7109375" style="143"/>
    <col min="14063" max="14063" width="21.7109375" style="143" customWidth="1"/>
    <col min="14064" max="14064" width="9.42578125" style="143" bestFit="1" customWidth="1"/>
    <col min="14065" max="14307" width="8.7109375" style="143"/>
    <col min="14308" max="14308" width="12.7109375" style="143" customWidth="1"/>
    <col min="14309" max="14309" width="60.28515625" style="143" customWidth="1"/>
    <col min="14310" max="14311" width="12.7109375" style="143" customWidth="1"/>
    <col min="14312" max="14312" width="12.28515625" style="143" bestFit="1" customWidth="1"/>
    <col min="14313" max="14313" width="15.7109375" style="143" customWidth="1"/>
    <col min="14314" max="14314" width="17.7109375" style="143" bestFit="1" customWidth="1"/>
    <col min="14315" max="14315" width="8.7109375" style="143"/>
    <col min="14316" max="14316" width="18" style="143" bestFit="1" customWidth="1"/>
    <col min="14317" max="14318" width="8.7109375" style="143"/>
    <col min="14319" max="14319" width="21.7109375" style="143" customWidth="1"/>
    <col min="14320" max="14320" width="9.42578125" style="143" bestFit="1" customWidth="1"/>
    <col min="14321" max="14563" width="8.7109375" style="143"/>
    <col min="14564" max="14564" width="12.7109375" style="143" customWidth="1"/>
    <col min="14565" max="14565" width="60.28515625" style="143" customWidth="1"/>
    <col min="14566" max="14567" width="12.7109375" style="143" customWidth="1"/>
    <col min="14568" max="14568" width="12.28515625" style="143" bestFit="1" customWidth="1"/>
    <col min="14569" max="14569" width="15.7109375" style="143" customWidth="1"/>
    <col min="14570" max="14570" width="17.7109375" style="143" bestFit="1" customWidth="1"/>
    <col min="14571" max="14571" width="8.7109375" style="143"/>
    <col min="14572" max="14572" width="18" style="143" bestFit="1" customWidth="1"/>
    <col min="14573" max="14574" width="8.7109375" style="143"/>
    <col min="14575" max="14575" width="21.7109375" style="143" customWidth="1"/>
    <col min="14576" max="14576" width="9.42578125" style="143" bestFit="1" customWidth="1"/>
    <col min="14577" max="14819" width="8.7109375" style="143"/>
    <col min="14820" max="14820" width="12.7109375" style="143" customWidth="1"/>
    <col min="14821" max="14821" width="60.28515625" style="143" customWidth="1"/>
    <col min="14822" max="14823" width="12.7109375" style="143" customWidth="1"/>
    <col min="14824" max="14824" width="12.28515625" style="143" bestFit="1" customWidth="1"/>
    <col min="14825" max="14825" width="15.7109375" style="143" customWidth="1"/>
    <col min="14826" max="14826" width="17.7109375" style="143" bestFit="1" customWidth="1"/>
    <col min="14827" max="14827" width="8.7109375" style="143"/>
    <col min="14828" max="14828" width="18" style="143" bestFit="1" customWidth="1"/>
    <col min="14829" max="14830" width="8.7109375" style="143"/>
    <col min="14831" max="14831" width="21.7109375" style="143" customWidth="1"/>
    <col min="14832" max="14832" width="9.42578125" style="143" bestFit="1" customWidth="1"/>
    <col min="14833" max="15075" width="8.7109375" style="143"/>
    <col min="15076" max="15076" width="12.7109375" style="143" customWidth="1"/>
    <col min="15077" max="15077" width="60.28515625" style="143" customWidth="1"/>
    <col min="15078" max="15079" width="12.7109375" style="143" customWidth="1"/>
    <col min="15080" max="15080" width="12.28515625" style="143" bestFit="1" customWidth="1"/>
    <col min="15081" max="15081" width="15.7109375" style="143" customWidth="1"/>
    <col min="15082" max="15082" width="17.7109375" style="143" bestFit="1" customWidth="1"/>
    <col min="15083" max="15083" width="8.7109375" style="143"/>
    <col min="15084" max="15084" width="18" style="143" bestFit="1" customWidth="1"/>
    <col min="15085" max="15086" width="8.7109375" style="143"/>
    <col min="15087" max="15087" width="21.7109375" style="143" customWidth="1"/>
    <col min="15088" max="15088" width="9.42578125" style="143" bestFit="1" customWidth="1"/>
    <col min="15089" max="15331" width="8.7109375" style="143"/>
    <col min="15332" max="15332" width="12.7109375" style="143" customWidth="1"/>
    <col min="15333" max="15333" width="60.28515625" style="143" customWidth="1"/>
    <col min="15334" max="15335" width="12.7109375" style="143" customWidth="1"/>
    <col min="15336" max="15336" width="12.28515625" style="143" bestFit="1" customWidth="1"/>
    <col min="15337" max="15337" width="15.7109375" style="143" customWidth="1"/>
    <col min="15338" max="15338" width="17.7109375" style="143" bestFit="1" customWidth="1"/>
    <col min="15339" max="15339" width="8.7109375" style="143"/>
    <col min="15340" max="15340" width="18" style="143" bestFit="1" customWidth="1"/>
    <col min="15341" max="15342" width="8.7109375" style="143"/>
    <col min="15343" max="15343" width="21.7109375" style="143" customWidth="1"/>
    <col min="15344" max="15344" width="9.42578125" style="143" bestFit="1" customWidth="1"/>
    <col min="15345" max="15587" width="8.7109375" style="143"/>
    <col min="15588" max="15588" width="12.7109375" style="143" customWidth="1"/>
    <col min="15589" max="15589" width="60.28515625" style="143" customWidth="1"/>
    <col min="15590" max="15591" width="12.7109375" style="143" customWidth="1"/>
    <col min="15592" max="15592" width="12.28515625" style="143" bestFit="1" customWidth="1"/>
    <col min="15593" max="15593" width="15.7109375" style="143" customWidth="1"/>
    <col min="15594" max="15594" width="17.7109375" style="143" bestFit="1" customWidth="1"/>
    <col min="15595" max="15595" width="8.7109375" style="143"/>
    <col min="15596" max="15596" width="18" style="143" bestFit="1" customWidth="1"/>
    <col min="15597" max="15598" width="8.7109375" style="143"/>
    <col min="15599" max="15599" width="21.7109375" style="143" customWidth="1"/>
    <col min="15600" max="15600" width="9.42578125" style="143" bestFit="1" customWidth="1"/>
    <col min="15601" max="15843" width="8.7109375" style="143"/>
    <col min="15844" max="15844" width="12.7109375" style="143" customWidth="1"/>
    <col min="15845" max="15845" width="60.28515625" style="143" customWidth="1"/>
    <col min="15846" max="15847" width="12.7109375" style="143" customWidth="1"/>
    <col min="15848" max="15848" width="12.28515625" style="143" bestFit="1" customWidth="1"/>
    <col min="15849" max="15849" width="15.7109375" style="143" customWidth="1"/>
    <col min="15850" max="15850" width="17.7109375" style="143" bestFit="1" customWidth="1"/>
    <col min="15851" max="15851" width="8.7109375" style="143"/>
    <col min="15852" max="15852" width="18" style="143" bestFit="1" customWidth="1"/>
    <col min="15853" max="15854" width="8.7109375" style="143"/>
    <col min="15855" max="15855" width="21.7109375" style="143" customWidth="1"/>
    <col min="15856" max="15856" width="9.42578125" style="143" bestFit="1" customWidth="1"/>
    <col min="15857" max="16099" width="8.7109375" style="143"/>
    <col min="16100" max="16100" width="12.7109375" style="143" customWidth="1"/>
    <col min="16101" max="16101" width="60.28515625" style="143" customWidth="1"/>
    <col min="16102" max="16103" width="12.7109375" style="143" customWidth="1"/>
    <col min="16104" max="16104" width="12.28515625" style="143" bestFit="1" customWidth="1"/>
    <col min="16105" max="16105" width="15.7109375" style="143" customWidth="1"/>
    <col min="16106" max="16106" width="17.7109375" style="143" bestFit="1" customWidth="1"/>
    <col min="16107" max="16107" width="8.7109375" style="143"/>
    <col min="16108" max="16108" width="18" style="143" bestFit="1" customWidth="1"/>
    <col min="16109" max="16110" width="8.7109375" style="143"/>
    <col min="16111" max="16111" width="21.7109375" style="143" customWidth="1"/>
    <col min="16112" max="16112" width="9.42578125" style="143" bestFit="1" customWidth="1"/>
    <col min="16113" max="16384" width="8.7109375" style="143"/>
  </cols>
  <sheetData>
    <row r="1" spans="1:16" ht="99" customHeight="1">
      <c r="A1" s="317" t="s">
        <v>356</v>
      </c>
      <c r="B1" s="318"/>
      <c r="C1" s="318"/>
      <c r="D1" s="318"/>
      <c r="E1" s="318"/>
      <c r="F1" s="318"/>
      <c r="G1" s="318"/>
      <c r="H1" s="318"/>
      <c r="I1" s="318"/>
      <c r="J1" s="318"/>
      <c r="K1" s="319"/>
      <c r="L1" s="185" t="s">
        <v>674</v>
      </c>
      <c r="M1" s="305" t="s">
        <v>676</v>
      </c>
      <c r="N1" s="305"/>
      <c r="O1" s="328">
        <f>'Mapa de Cotação - FWD, IRI, LVC'!$Q$5+'Mapa de Cotação - FWD, IRI, LVC'!$Q$6</f>
        <v>1202.8</v>
      </c>
      <c r="P1" s="329"/>
    </row>
    <row r="2" spans="1:16" ht="63" customHeight="1" thickBot="1">
      <c r="A2" s="320"/>
      <c r="B2" s="321"/>
      <c r="C2" s="321"/>
      <c r="D2" s="321"/>
      <c r="E2" s="321"/>
      <c r="F2" s="321"/>
      <c r="G2" s="321"/>
      <c r="H2" s="321"/>
      <c r="I2" s="321"/>
      <c r="J2" s="321"/>
      <c r="K2" s="322"/>
      <c r="L2" s="186" t="s">
        <v>675</v>
      </c>
      <c r="M2" s="306" t="s">
        <v>671</v>
      </c>
      <c r="N2" s="306"/>
      <c r="O2" s="330">
        <f>'Mapa de Cotação - FWD, IRI, LVC'!$Q$7</f>
        <v>680.6</v>
      </c>
      <c r="P2" s="331"/>
    </row>
    <row r="3" spans="1:16" ht="31.5" customHeight="1" thickBot="1">
      <c r="A3" s="170" t="s">
        <v>357</v>
      </c>
      <c r="B3" s="180" t="s">
        <v>358</v>
      </c>
      <c r="C3" s="180"/>
      <c r="D3" s="171"/>
      <c r="E3" s="171"/>
      <c r="F3" s="171"/>
      <c r="G3" s="171"/>
      <c r="H3" s="171"/>
      <c r="I3" s="172"/>
      <c r="J3" s="181"/>
      <c r="K3" s="181"/>
      <c r="L3" s="181"/>
      <c r="M3" s="181"/>
      <c r="N3" s="182"/>
      <c r="O3" s="183"/>
      <c r="P3" s="184"/>
    </row>
    <row r="4" spans="1:16" ht="31.5" customHeight="1">
      <c r="B4" s="14"/>
      <c r="F4" s="15"/>
      <c r="G4" s="16"/>
      <c r="H4" s="16"/>
      <c r="I4" s="16"/>
      <c r="N4" s="144"/>
      <c r="O4" s="15"/>
      <c r="P4" s="15"/>
    </row>
    <row r="5" spans="1:16" ht="30" customHeight="1">
      <c r="A5" s="323" t="s">
        <v>606</v>
      </c>
      <c r="B5" s="323"/>
      <c r="C5" s="323"/>
      <c r="D5" s="323"/>
      <c r="E5" s="323"/>
      <c r="F5" s="323"/>
      <c r="G5" s="323"/>
      <c r="H5" s="323"/>
      <c r="I5" s="323"/>
      <c r="J5" s="323"/>
      <c r="K5" s="323"/>
      <c r="L5" s="323"/>
      <c r="M5" s="323"/>
      <c r="N5" s="323"/>
      <c r="O5" s="323"/>
      <c r="P5" s="323"/>
    </row>
    <row r="6" spans="1:16" ht="27" customHeight="1">
      <c r="A6" s="324" t="s">
        <v>325</v>
      </c>
      <c r="B6" s="324" t="s">
        <v>604</v>
      </c>
      <c r="C6" s="325" t="s">
        <v>680</v>
      </c>
      <c r="D6" s="326" t="s">
        <v>678</v>
      </c>
      <c r="E6" s="327" t="s">
        <v>605</v>
      </c>
      <c r="F6" s="327"/>
      <c r="G6" s="327"/>
      <c r="H6" s="327"/>
      <c r="I6" s="327"/>
      <c r="J6" s="327"/>
      <c r="K6" s="327"/>
      <c r="L6" s="327"/>
      <c r="M6" s="327"/>
      <c r="N6" s="327"/>
      <c r="O6" s="327"/>
      <c r="P6" s="327"/>
    </row>
    <row r="7" spans="1:16" ht="27" customHeight="1">
      <c r="A7" s="324"/>
      <c r="B7" s="324"/>
      <c r="C7" s="325"/>
      <c r="D7" s="326"/>
      <c r="E7" s="159" t="s">
        <v>359</v>
      </c>
      <c r="F7" s="159" t="s">
        <v>360</v>
      </c>
      <c r="G7" s="159" t="s">
        <v>361</v>
      </c>
      <c r="H7" s="159" t="s">
        <v>362</v>
      </c>
      <c r="I7" s="159" t="s">
        <v>363</v>
      </c>
      <c r="J7" s="159" t="s">
        <v>364</v>
      </c>
      <c r="K7" s="159" t="s">
        <v>365</v>
      </c>
      <c r="L7" s="159" t="s">
        <v>366</v>
      </c>
      <c r="M7" s="159" t="s">
        <v>367</v>
      </c>
      <c r="N7" s="159" t="s">
        <v>368</v>
      </c>
      <c r="O7" s="159" t="s">
        <v>369</v>
      </c>
      <c r="P7" s="159" t="s">
        <v>370</v>
      </c>
    </row>
    <row r="8" spans="1:16" ht="33.75" customHeight="1">
      <c r="A8" s="316" t="s">
        <v>673</v>
      </c>
      <c r="B8" s="191" t="str">
        <f>Principal!$B$7</f>
        <v>1.1</v>
      </c>
      <c r="C8" s="219" t="s">
        <v>602</v>
      </c>
      <c r="D8" s="192">
        <v>1</v>
      </c>
      <c r="E8" s="193">
        <v>0</v>
      </c>
      <c r="F8" s="194">
        <v>0.25</v>
      </c>
      <c r="G8" s="193">
        <v>0</v>
      </c>
      <c r="H8" s="193">
        <v>0</v>
      </c>
      <c r="I8" s="194">
        <v>0.25</v>
      </c>
      <c r="J8" s="193">
        <v>0</v>
      </c>
      <c r="K8" s="193">
        <v>0</v>
      </c>
      <c r="L8" s="194">
        <v>0.25</v>
      </c>
      <c r="M8" s="193">
        <v>0</v>
      </c>
      <c r="N8" s="193">
        <v>0</v>
      </c>
      <c r="O8" s="194">
        <v>0.25</v>
      </c>
      <c r="P8" s="193">
        <v>0</v>
      </c>
    </row>
    <row r="9" spans="1:16" ht="33.75" customHeight="1">
      <c r="A9" s="316"/>
      <c r="B9" s="191" t="str">
        <f>Principal!$B$8</f>
        <v>1.2</v>
      </c>
      <c r="C9" s="219" t="s">
        <v>603</v>
      </c>
      <c r="D9" s="192">
        <v>1</v>
      </c>
      <c r="E9" s="194">
        <v>0.25</v>
      </c>
      <c r="F9" s="193">
        <v>0</v>
      </c>
      <c r="G9" s="193">
        <v>0</v>
      </c>
      <c r="H9" s="194">
        <v>0.25</v>
      </c>
      <c r="I9" s="193">
        <v>0</v>
      </c>
      <c r="J9" s="193">
        <v>0</v>
      </c>
      <c r="K9" s="194">
        <v>0.25</v>
      </c>
      <c r="L9" s="193">
        <v>0</v>
      </c>
      <c r="M9" s="193">
        <v>0</v>
      </c>
      <c r="N9" s="194">
        <v>0.25</v>
      </c>
      <c r="O9" s="193">
        <v>0</v>
      </c>
      <c r="P9" s="193">
        <v>0</v>
      </c>
    </row>
    <row r="10" spans="1:16" ht="33.75" customHeight="1">
      <c r="A10" s="218" t="s">
        <v>683</v>
      </c>
      <c r="B10" s="191" t="s">
        <v>629</v>
      </c>
      <c r="C10" s="219" t="s">
        <v>630</v>
      </c>
      <c r="D10" s="192">
        <v>1</v>
      </c>
      <c r="E10" s="193">
        <v>0</v>
      </c>
      <c r="F10" s="193">
        <v>0</v>
      </c>
      <c r="G10" s="194">
        <v>0.25</v>
      </c>
      <c r="H10" s="193">
        <v>0</v>
      </c>
      <c r="I10" s="193">
        <v>0</v>
      </c>
      <c r="J10" s="194">
        <v>0.25</v>
      </c>
      <c r="K10" s="193">
        <v>0</v>
      </c>
      <c r="L10" s="193">
        <v>0</v>
      </c>
      <c r="M10" s="194">
        <v>0.25</v>
      </c>
      <c r="N10" s="193">
        <v>0</v>
      </c>
      <c r="O10" s="193">
        <v>0</v>
      </c>
      <c r="P10" s="194">
        <v>0.25</v>
      </c>
    </row>
    <row r="11" spans="1:16" ht="33.75" customHeight="1">
      <c r="A11" s="316" t="s">
        <v>673</v>
      </c>
      <c r="B11" s="336" t="s">
        <v>421</v>
      </c>
      <c r="C11" s="336"/>
      <c r="D11" s="336"/>
      <c r="E11" s="336"/>
      <c r="F11" s="336"/>
      <c r="G11" s="336"/>
      <c r="H11" s="336"/>
      <c r="I11" s="336"/>
      <c r="J11" s="336"/>
      <c r="K11" s="336"/>
      <c r="L11" s="336"/>
      <c r="M11" s="336"/>
      <c r="N11" s="336"/>
      <c r="O11" s="336"/>
      <c r="P11" s="336"/>
    </row>
    <row r="12" spans="1:16" ht="33.75" customHeight="1">
      <c r="A12" s="316"/>
      <c r="B12" s="191">
        <v>2</v>
      </c>
      <c r="C12" s="220" t="s">
        <v>381</v>
      </c>
      <c r="D12" s="192">
        <v>1</v>
      </c>
      <c r="E12" s="195">
        <f t="shared" ref="E12:P12" si="0">1/12</f>
        <v>8.3333333333333329E-2</v>
      </c>
      <c r="F12" s="195">
        <f t="shared" si="0"/>
        <v>8.3333333333333329E-2</v>
      </c>
      <c r="G12" s="195">
        <f t="shared" si="0"/>
        <v>8.3333333333333329E-2</v>
      </c>
      <c r="H12" s="195">
        <f t="shared" si="0"/>
        <v>8.3333333333333329E-2</v>
      </c>
      <c r="I12" s="195">
        <f t="shared" si="0"/>
        <v>8.3333333333333329E-2</v>
      </c>
      <c r="J12" s="195">
        <f t="shared" si="0"/>
        <v>8.3333333333333329E-2</v>
      </c>
      <c r="K12" s="195">
        <f t="shared" si="0"/>
        <v>8.3333333333333329E-2</v>
      </c>
      <c r="L12" s="195">
        <f t="shared" si="0"/>
        <v>8.3333333333333329E-2</v>
      </c>
      <c r="M12" s="195">
        <f t="shared" si="0"/>
        <v>8.3333333333333329E-2</v>
      </c>
      <c r="N12" s="195">
        <f t="shared" si="0"/>
        <v>8.3333333333333329E-2</v>
      </c>
      <c r="O12" s="195">
        <f t="shared" si="0"/>
        <v>8.3333333333333329E-2</v>
      </c>
      <c r="P12" s="195">
        <f t="shared" si="0"/>
        <v>8.3333333333333329E-2</v>
      </c>
    </row>
    <row r="13" spans="1:16" ht="33.75" customHeight="1">
      <c r="A13" s="316"/>
      <c r="B13" s="191">
        <v>3</v>
      </c>
      <c r="C13" s="220" t="s">
        <v>382</v>
      </c>
      <c r="D13" s="192">
        <v>1</v>
      </c>
      <c r="E13" s="193">
        <v>0</v>
      </c>
      <c r="F13" s="193">
        <v>0</v>
      </c>
      <c r="G13" s="193">
        <v>0</v>
      </c>
      <c r="H13" s="193">
        <v>0</v>
      </c>
      <c r="I13" s="193">
        <v>0</v>
      </c>
      <c r="J13" s="193">
        <v>0</v>
      </c>
      <c r="K13" s="193">
        <v>0</v>
      </c>
      <c r="L13" s="193">
        <v>0</v>
      </c>
      <c r="M13" s="193">
        <v>0</v>
      </c>
      <c r="N13" s="195">
        <v>1</v>
      </c>
      <c r="O13" s="193">
        <v>0</v>
      </c>
      <c r="P13" s="193">
        <v>0</v>
      </c>
    </row>
    <row r="14" spans="1:16" ht="33.75" customHeight="1">
      <c r="A14" s="316"/>
      <c r="B14" s="191">
        <v>4</v>
      </c>
      <c r="C14" s="220" t="s">
        <v>383</v>
      </c>
      <c r="D14" s="192">
        <v>1</v>
      </c>
      <c r="E14" s="193">
        <v>0</v>
      </c>
      <c r="F14" s="193">
        <v>0</v>
      </c>
      <c r="G14" s="193">
        <v>0</v>
      </c>
      <c r="H14" s="193">
        <v>0</v>
      </c>
      <c r="I14" s="193">
        <v>0</v>
      </c>
      <c r="J14" s="193">
        <v>0</v>
      </c>
      <c r="K14" s="193">
        <v>0</v>
      </c>
      <c r="L14" s="193">
        <v>0</v>
      </c>
      <c r="M14" s="193">
        <v>0</v>
      </c>
      <c r="N14" s="195">
        <v>1</v>
      </c>
      <c r="O14" s="193">
        <v>0</v>
      </c>
      <c r="P14" s="193">
        <v>0</v>
      </c>
    </row>
    <row r="15" spans="1:16" ht="33.75" customHeight="1">
      <c r="A15" s="316"/>
      <c r="B15" s="191">
        <v>5</v>
      </c>
      <c r="C15" s="220" t="s">
        <v>384</v>
      </c>
      <c r="D15" s="192">
        <v>1</v>
      </c>
      <c r="E15" s="193">
        <v>0</v>
      </c>
      <c r="F15" s="193">
        <v>0</v>
      </c>
      <c r="G15" s="193">
        <v>0</v>
      </c>
      <c r="H15" s="193">
        <v>0</v>
      </c>
      <c r="I15" s="193">
        <v>0</v>
      </c>
      <c r="J15" s="193">
        <v>0</v>
      </c>
      <c r="K15" s="193">
        <v>0</v>
      </c>
      <c r="L15" s="193">
        <v>0</v>
      </c>
      <c r="M15" s="193">
        <v>0</v>
      </c>
      <c r="N15" s="195">
        <v>1</v>
      </c>
      <c r="O15" s="193">
        <v>0</v>
      </c>
      <c r="P15" s="193">
        <v>0</v>
      </c>
    </row>
    <row r="16" spans="1:16" ht="33.75" customHeight="1">
      <c r="A16" s="316"/>
      <c r="B16" s="191">
        <v>6</v>
      </c>
      <c r="C16" s="220" t="s">
        <v>385</v>
      </c>
      <c r="D16" s="192">
        <v>1</v>
      </c>
      <c r="E16" s="193">
        <v>0</v>
      </c>
      <c r="F16" s="193">
        <v>0</v>
      </c>
      <c r="G16" s="193">
        <v>0</v>
      </c>
      <c r="H16" s="193">
        <v>0</v>
      </c>
      <c r="I16" s="193">
        <v>0</v>
      </c>
      <c r="J16" s="193">
        <v>0</v>
      </c>
      <c r="K16" s="193">
        <v>0</v>
      </c>
      <c r="L16" s="193">
        <v>0</v>
      </c>
      <c r="M16" s="193">
        <v>0</v>
      </c>
      <c r="N16" s="195">
        <v>1</v>
      </c>
      <c r="O16" s="193">
        <v>0</v>
      </c>
      <c r="P16" s="193">
        <v>0</v>
      </c>
    </row>
    <row r="17" spans="1:16" ht="33.75" customHeight="1">
      <c r="A17" s="316"/>
      <c r="B17" s="191">
        <v>7</v>
      </c>
      <c r="C17" s="220" t="s">
        <v>386</v>
      </c>
      <c r="D17" s="192">
        <v>1</v>
      </c>
      <c r="E17" s="193">
        <v>0</v>
      </c>
      <c r="F17" s="193">
        <v>0</v>
      </c>
      <c r="G17" s="193">
        <v>0</v>
      </c>
      <c r="H17" s="193">
        <v>0</v>
      </c>
      <c r="I17" s="193">
        <v>0</v>
      </c>
      <c r="J17" s="193">
        <v>0</v>
      </c>
      <c r="K17" s="193">
        <v>0</v>
      </c>
      <c r="L17" s="193">
        <v>0</v>
      </c>
      <c r="M17" s="193">
        <v>0</v>
      </c>
      <c r="N17" s="195">
        <v>1</v>
      </c>
      <c r="O17" s="193">
        <v>0</v>
      </c>
      <c r="P17" s="193">
        <v>0</v>
      </c>
    </row>
    <row r="18" spans="1:16" ht="33.75" customHeight="1">
      <c r="A18" s="316"/>
      <c r="B18" s="336" t="s">
        <v>435</v>
      </c>
      <c r="C18" s="336"/>
      <c r="D18" s="336"/>
      <c r="E18" s="336"/>
      <c r="F18" s="336"/>
      <c r="G18" s="336"/>
      <c r="H18" s="336"/>
      <c r="I18" s="336"/>
      <c r="J18" s="336"/>
      <c r="K18" s="336"/>
      <c r="L18" s="336"/>
      <c r="M18" s="336"/>
      <c r="N18" s="336"/>
      <c r="O18" s="336"/>
      <c r="P18" s="336"/>
    </row>
    <row r="19" spans="1:16" ht="33.75" customHeight="1">
      <c r="A19" s="316"/>
      <c r="B19" s="191">
        <v>8</v>
      </c>
      <c r="C19" s="220" t="s">
        <v>381</v>
      </c>
      <c r="D19" s="192">
        <v>1</v>
      </c>
      <c r="E19" s="195">
        <f t="shared" ref="E19:P19" si="1">1/12</f>
        <v>8.3333333333333329E-2</v>
      </c>
      <c r="F19" s="195">
        <f t="shared" si="1"/>
        <v>8.3333333333333329E-2</v>
      </c>
      <c r="G19" s="195">
        <f t="shared" si="1"/>
        <v>8.3333333333333329E-2</v>
      </c>
      <c r="H19" s="195">
        <f t="shared" si="1"/>
        <v>8.3333333333333329E-2</v>
      </c>
      <c r="I19" s="195">
        <f t="shared" si="1"/>
        <v>8.3333333333333329E-2</v>
      </c>
      <c r="J19" s="195">
        <f t="shared" si="1"/>
        <v>8.3333333333333329E-2</v>
      </c>
      <c r="K19" s="195">
        <f t="shared" si="1"/>
        <v>8.3333333333333329E-2</v>
      </c>
      <c r="L19" s="195">
        <f t="shared" si="1"/>
        <v>8.3333333333333329E-2</v>
      </c>
      <c r="M19" s="195">
        <f t="shared" si="1"/>
        <v>8.3333333333333329E-2</v>
      </c>
      <c r="N19" s="195">
        <f t="shared" si="1"/>
        <v>8.3333333333333329E-2</v>
      </c>
      <c r="O19" s="195">
        <f t="shared" si="1"/>
        <v>8.3333333333333329E-2</v>
      </c>
      <c r="P19" s="195">
        <f t="shared" si="1"/>
        <v>8.3333333333333329E-2</v>
      </c>
    </row>
    <row r="20" spans="1:16" ht="33.75" customHeight="1">
      <c r="A20" s="316"/>
      <c r="B20" s="191">
        <v>9</v>
      </c>
      <c r="C20" s="220" t="s">
        <v>382</v>
      </c>
      <c r="D20" s="192">
        <v>1</v>
      </c>
      <c r="E20" s="193">
        <v>0</v>
      </c>
      <c r="F20" s="193">
        <v>0</v>
      </c>
      <c r="G20" s="193">
        <v>0</v>
      </c>
      <c r="H20" s="193">
        <v>0</v>
      </c>
      <c r="I20" s="193">
        <v>0</v>
      </c>
      <c r="J20" s="193">
        <v>0</v>
      </c>
      <c r="K20" s="193">
        <v>0</v>
      </c>
      <c r="L20" s="193">
        <v>0</v>
      </c>
      <c r="M20" s="193">
        <v>0</v>
      </c>
      <c r="N20" s="195">
        <v>1</v>
      </c>
      <c r="O20" s="193">
        <v>0</v>
      </c>
      <c r="P20" s="193">
        <v>0</v>
      </c>
    </row>
    <row r="21" spans="1:16" ht="33.75" customHeight="1">
      <c r="A21" s="316"/>
      <c r="B21" s="191">
        <v>10</v>
      </c>
      <c r="C21" s="220" t="s">
        <v>383</v>
      </c>
      <c r="D21" s="192">
        <v>1</v>
      </c>
      <c r="E21" s="193">
        <v>0</v>
      </c>
      <c r="F21" s="193">
        <v>0</v>
      </c>
      <c r="G21" s="193">
        <v>0</v>
      </c>
      <c r="H21" s="193">
        <v>0</v>
      </c>
      <c r="I21" s="193">
        <v>0</v>
      </c>
      <c r="J21" s="193">
        <v>0</v>
      </c>
      <c r="K21" s="193">
        <v>0</v>
      </c>
      <c r="L21" s="193">
        <v>0</v>
      </c>
      <c r="M21" s="193">
        <v>0</v>
      </c>
      <c r="N21" s="195">
        <v>1</v>
      </c>
      <c r="O21" s="193">
        <v>0</v>
      </c>
      <c r="P21" s="193">
        <v>0</v>
      </c>
    </row>
    <row r="22" spans="1:16" ht="33.75" customHeight="1">
      <c r="A22" s="316"/>
      <c r="B22" s="191">
        <v>11</v>
      </c>
      <c r="C22" s="220" t="s">
        <v>384</v>
      </c>
      <c r="D22" s="192">
        <v>1</v>
      </c>
      <c r="E22" s="193">
        <v>0</v>
      </c>
      <c r="F22" s="193">
        <v>0</v>
      </c>
      <c r="G22" s="193">
        <v>0</v>
      </c>
      <c r="H22" s="193">
        <v>0</v>
      </c>
      <c r="I22" s="193">
        <v>0</v>
      </c>
      <c r="J22" s="193">
        <v>0</v>
      </c>
      <c r="K22" s="193">
        <v>0</v>
      </c>
      <c r="L22" s="193">
        <v>0</v>
      </c>
      <c r="M22" s="193">
        <v>0</v>
      </c>
      <c r="N22" s="195">
        <v>1</v>
      </c>
      <c r="O22" s="193">
        <v>0</v>
      </c>
      <c r="P22" s="193">
        <v>0</v>
      </c>
    </row>
    <row r="23" spans="1:16" ht="33.75" customHeight="1">
      <c r="A23" s="316"/>
      <c r="B23" s="191">
        <v>12</v>
      </c>
      <c r="C23" s="220" t="s">
        <v>385</v>
      </c>
      <c r="D23" s="192">
        <v>1</v>
      </c>
      <c r="E23" s="193">
        <v>0</v>
      </c>
      <c r="F23" s="193">
        <v>0</v>
      </c>
      <c r="G23" s="193">
        <v>0</v>
      </c>
      <c r="H23" s="193">
        <v>0</v>
      </c>
      <c r="I23" s="193">
        <v>0</v>
      </c>
      <c r="J23" s="193">
        <v>0</v>
      </c>
      <c r="K23" s="193">
        <v>0</v>
      </c>
      <c r="L23" s="193">
        <v>0</v>
      </c>
      <c r="M23" s="193">
        <v>0</v>
      </c>
      <c r="N23" s="195">
        <v>1</v>
      </c>
      <c r="O23" s="193">
        <v>0</v>
      </c>
      <c r="P23" s="193">
        <v>0</v>
      </c>
    </row>
    <row r="24" spans="1:16" ht="33.75" customHeight="1">
      <c r="A24" s="316"/>
      <c r="B24" s="191">
        <v>13</v>
      </c>
      <c r="C24" s="220" t="s">
        <v>386</v>
      </c>
      <c r="D24" s="192">
        <v>1</v>
      </c>
      <c r="E24" s="193">
        <v>0</v>
      </c>
      <c r="F24" s="193">
        <v>0</v>
      </c>
      <c r="G24" s="193">
        <v>0</v>
      </c>
      <c r="H24" s="193">
        <v>0</v>
      </c>
      <c r="I24" s="193">
        <v>0</v>
      </c>
      <c r="J24" s="193">
        <v>0</v>
      </c>
      <c r="K24" s="193">
        <v>0</v>
      </c>
      <c r="L24" s="193">
        <v>0</v>
      </c>
      <c r="M24" s="193">
        <v>0</v>
      </c>
      <c r="N24" s="195">
        <v>1</v>
      </c>
      <c r="O24" s="193">
        <v>0</v>
      </c>
      <c r="P24" s="193">
        <v>0</v>
      </c>
    </row>
    <row r="25" spans="1:16" ht="33.75" customHeight="1">
      <c r="A25" s="316" t="s">
        <v>683</v>
      </c>
      <c r="B25" s="336" t="s">
        <v>634</v>
      </c>
      <c r="C25" s="336"/>
      <c r="D25" s="336"/>
      <c r="E25" s="336"/>
      <c r="F25" s="336"/>
      <c r="G25" s="336"/>
      <c r="H25" s="336"/>
      <c r="I25" s="336"/>
      <c r="J25" s="336"/>
      <c r="K25" s="336"/>
      <c r="L25" s="336"/>
      <c r="M25" s="336"/>
      <c r="N25" s="336"/>
      <c r="O25" s="336"/>
      <c r="P25" s="336"/>
    </row>
    <row r="26" spans="1:16" ht="33.75" customHeight="1">
      <c r="A26" s="316"/>
      <c r="B26" s="191">
        <v>14</v>
      </c>
      <c r="C26" s="220" t="s">
        <v>381</v>
      </c>
      <c r="D26" s="192">
        <v>1</v>
      </c>
      <c r="E26" s="195">
        <f t="shared" ref="E26:P26" si="2">1/12</f>
        <v>8.3333333333333329E-2</v>
      </c>
      <c r="F26" s="195">
        <f t="shared" si="2"/>
        <v>8.3333333333333329E-2</v>
      </c>
      <c r="G26" s="195">
        <f t="shared" si="2"/>
        <v>8.3333333333333329E-2</v>
      </c>
      <c r="H26" s="195">
        <f t="shared" si="2"/>
        <v>8.3333333333333329E-2</v>
      </c>
      <c r="I26" s="195">
        <f t="shared" si="2"/>
        <v>8.3333333333333329E-2</v>
      </c>
      <c r="J26" s="195">
        <f t="shared" si="2"/>
        <v>8.3333333333333329E-2</v>
      </c>
      <c r="K26" s="195">
        <f t="shared" si="2"/>
        <v>8.3333333333333329E-2</v>
      </c>
      <c r="L26" s="195">
        <f t="shared" si="2"/>
        <v>8.3333333333333329E-2</v>
      </c>
      <c r="M26" s="195">
        <f t="shared" si="2"/>
        <v>8.3333333333333329E-2</v>
      </c>
      <c r="N26" s="195">
        <f t="shared" si="2"/>
        <v>8.3333333333333329E-2</v>
      </c>
      <c r="O26" s="195">
        <f t="shared" si="2"/>
        <v>8.3333333333333329E-2</v>
      </c>
      <c r="P26" s="195">
        <f t="shared" si="2"/>
        <v>8.3333333333333329E-2</v>
      </c>
    </row>
    <row r="27" spans="1:16" ht="33.75" customHeight="1">
      <c r="A27" s="316"/>
      <c r="B27" s="191">
        <v>15</v>
      </c>
      <c r="C27" s="220" t="s">
        <v>382</v>
      </c>
      <c r="D27" s="192">
        <v>1</v>
      </c>
      <c r="E27" s="193">
        <v>0</v>
      </c>
      <c r="F27" s="193">
        <v>0</v>
      </c>
      <c r="G27" s="193">
        <v>0</v>
      </c>
      <c r="H27" s="193">
        <v>0</v>
      </c>
      <c r="I27" s="193">
        <v>0</v>
      </c>
      <c r="J27" s="193">
        <v>0</v>
      </c>
      <c r="K27" s="193">
        <v>0</v>
      </c>
      <c r="L27" s="193">
        <v>0</v>
      </c>
      <c r="M27" s="193">
        <v>0</v>
      </c>
      <c r="N27" s="195">
        <v>1</v>
      </c>
      <c r="O27" s="193">
        <v>0</v>
      </c>
      <c r="P27" s="193">
        <v>0</v>
      </c>
    </row>
    <row r="28" spans="1:16" ht="33.75" customHeight="1">
      <c r="A28" s="316"/>
      <c r="B28" s="191">
        <v>16</v>
      </c>
      <c r="C28" s="220" t="s">
        <v>383</v>
      </c>
      <c r="D28" s="192">
        <v>1</v>
      </c>
      <c r="E28" s="193">
        <v>0</v>
      </c>
      <c r="F28" s="193">
        <v>0</v>
      </c>
      <c r="G28" s="193">
        <v>0</v>
      </c>
      <c r="H28" s="193">
        <v>0</v>
      </c>
      <c r="I28" s="193">
        <v>0</v>
      </c>
      <c r="J28" s="193">
        <v>0</v>
      </c>
      <c r="K28" s="193">
        <v>0</v>
      </c>
      <c r="L28" s="193">
        <v>0</v>
      </c>
      <c r="M28" s="193">
        <v>0</v>
      </c>
      <c r="N28" s="195">
        <v>1</v>
      </c>
      <c r="O28" s="193">
        <v>0</v>
      </c>
      <c r="P28" s="193">
        <v>0</v>
      </c>
    </row>
    <row r="29" spans="1:16" ht="33.75" customHeight="1">
      <c r="A29" s="316"/>
      <c r="B29" s="191">
        <v>17</v>
      </c>
      <c r="C29" s="220" t="s">
        <v>384</v>
      </c>
      <c r="D29" s="192">
        <v>1</v>
      </c>
      <c r="E29" s="193">
        <v>0</v>
      </c>
      <c r="F29" s="193">
        <v>0</v>
      </c>
      <c r="G29" s="193">
        <v>0</v>
      </c>
      <c r="H29" s="193">
        <v>0</v>
      </c>
      <c r="I29" s="193">
        <v>0</v>
      </c>
      <c r="J29" s="193">
        <v>0</v>
      </c>
      <c r="K29" s="193">
        <v>0</v>
      </c>
      <c r="L29" s="193">
        <v>0</v>
      </c>
      <c r="M29" s="193">
        <v>0</v>
      </c>
      <c r="N29" s="195">
        <v>1</v>
      </c>
      <c r="O29" s="193">
        <v>0</v>
      </c>
      <c r="P29" s="193">
        <v>0</v>
      </c>
    </row>
    <row r="30" spans="1:16" ht="33.75" customHeight="1">
      <c r="A30" s="316"/>
      <c r="B30" s="191">
        <v>18</v>
      </c>
      <c r="C30" s="220" t="s">
        <v>385</v>
      </c>
      <c r="D30" s="192">
        <v>1</v>
      </c>
      <c r="E30" s="193">
        <v>0</v>
      </c>
      <c r="F30" s="193">
        <v>0</v>
      </c>
      <c r="G30" s="193">
        <v>0</v>
      </c>
      <c r="H30" s="193">
        <v>0</v>
      </c>
      <c r="I30" s="193">
        <v>0</v>
      </c>
      <c r="J30" s="193">
        <v>0</v>
      </c>
      <c r="K30" s="193">
        <v>0</v>
      </c>
      <c r="L30" s="193">
        <v>0</v>
      </c>
      <c r="M30" s="193">
        <v>0</v>
      </c>
      <c r="N30" s="195">
        <v>1</v>
      </c>
      <c r="O30" s="193">
        <v>0</v>
      </c>
      <c r="P30" s="193">
        <v>0</v>
      </c>
    </row>
    <row r="31" spans="1:16" ht="33.75" customHeight="1">
      <c r="A31" s="316"/>
      <c r="B31" s="191">
        <v>19</v>
      </c>
      <c r="C31" s="220" t="s">
        <v>386</v>
      </c>
      <c r="D31" s="192">
        <v>1</v>
      </c>
      <c r="E31" s="193">
        <v>0</v>
      </c>
      <c r="F31" s="193">
        <v>0</v>
      </c>
      <c r="G31" s="193">
        <v>0</v>
      </c>
      <c r="H31" s="193">
        <v>0</v>
      </c>
      <c r="I31" s="193">
        <v>0</v>
      </c>
      <c r="J31" s="193">
        <v>0</v>
      </c>
      <c r="K31" s="193">
        <v>0</v>
      </c>
      <c r="L31" s="193">
        <v>0</v>
      </c>
      <c r="M31" s="193">
        <v>0</v>
      </c>
      <c r="N31" s="195">
        <v>1</v>
      </c>
      <c r="O31" s="193">
        <v>0</v>
      </c>
      <c r="P31" s="193">
        <v>0</v>
      </c>
    </row>
    <row r="32" spans="1:16" ht="33.75" customHeight="1"/>
    <row r="33" ht="33.75" customHeight="1"/>
  </sheetData>
  <mergeCells count="17">
    <mergeCell ref="A1:K2"/>
    <mergeCell ref="A6:A7"/>
    <mergeCell ref="A5:P5"/>
    <mergeCell ref="A8:A9"/>
    <mergeCell ref="A11:A24"/>
    <mergeCell ref="M1:N1"/>
    <mergeCell ref="O1:P1"/>
    <mergeCell ref="M2:N2"/>
    <mergeCell ref="O2:P2"/>
    <mergeCell ref="A25:A31"/>
    <mergeCell ref="B25:P25"/>
    <mergeCell ref="B18:P18"/>
    <mergeCell ref="B11:P11"/>
    <mergeCell ref="B6:B7"/>
    <mergeCell ref="C6:C7"/>
    <mergeCell ref="D6:D7"/>
    <mergeCell ref="E6:P6"/>
  </mergeCells>
  <printOptions horizontalCentered="1"/>
  <pageMargins left="0.39370078740157483" right="0.39370078740157483" top="1.1811023622047245" bottom="0.59055118110236227" header="0.39370078740157483" footer="0.39370078740157483"/>
  <pageSetup paperSize="9" scale="50" firstPageNumber="0" fitToHeight="0" orientation="portrait" r:id="rId1"/>
  <headerFooter alignWithMargins="0">
    <oddHeader>&amp;L&amp;G</oddHeader>
    <oddFooter>&amp;A</oddFooter>
  </headerFooter>
  <drawing r:id="rId2"/>
  <legacyDrawingHF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1DC75-A2A2-404F-84E5-6EF7BE69F210}">
  <sheetPr>
    <tabColor theme="9"/>
  </sheetPr>
  <dimension ref="A1:S78"/>
  <sheetViews>
    <sheetView zoomScale="80" zoomScaleNormal="80" workbookViewId="0">
      <selection activeCell="B24" sqref="B24"/>
    </sheetView>
  </sheetViews>
  <sheetFormatPr defaultRowHeight="15"/>
  <cols>
    <col min="1" max="1" width="8.85546875" style="27" customWidth="1"/>
    <col min="2" max="2" width="42.5703125" style="27" customWidth="1"/>
    <col min="3" max="3" width="17.42578125" style="27" customWidth="1"/>
    <col min="4" max="4" width="20.85546875" style="27" customWidth="1"/>
    <col min="5" max="6" width="17.42578125" style="27" customWidth="1"/>
    <col min="7" max="7" width="15.42578125" style="27" customWidth="1"/>
    <col min="8" max="8" width="15" style="27" customWidth="1"/>
    <col min="9" max="9" width="25.28515625" style="27" customWidth="1"/>
    <col min="10" max="10" width="14.5703125" style="27" bestFit="1" customWidth="1"/>
    <col min="11" max="12" width="20.28515625" style="27" customWidth="1"/>
    <col min="13" max="13" width="18.5703125" style="27" customWidth="1"/>
    <col min="14" max="14" width="9.140625" style="27"/>
    <col min="15" max="15" width="20.42578125" style="27" customWidth="1"/>
    <col min="16" max="16" width="19.42578125" style="27" customWidth="1"/>
    <col min="17" max="17" width="18.5703125" style="27" customWidth="1"/>
    <col min="18" max="18" width="18.7109375" style="27" customWidth="1"/>
    <col min="19" max="16384" width="9.140625" style="27"/>
  </cols>
  <sheetData>
    <row r="1" spans="1:13" ht="30.75" customHeight="1">
      <c r="A1" s="384" t="s">
        <v>396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</row>
    <row r="2" spans="1:13" ht="28.5" customHeight="1" thickBot="1">
      <c r="A2" s="385" t="s">
        <v>654</v>
      </c>
      <c r="B2" s="385"/>
      <c r="C2" s="385"/>
      <c r="D2" s="385"/>
      <c r="E2" s="385"/>
      <c r="F2" s="385"/>
      <c r="G2" s="385"/>
      <c r="H2" s="385"/>
      <c r="I2" s="385"/>
      <c r="J2" s="385"/>
      <c r="K2" s="385"/>
      <c r="L2" s="385"/>
      <c r="M2" s="385"/>
    </row>
    <row r="3" spans="1:13">
      <c r="A3" s="386" t="s">
        <v>397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8"/>
    </row>
    <row r="4" spans="1:13" s="32" customFormat="1" ht="60">
      <c r="A4" s="65" t="s">
        <v>378</v>
      </c>
      <c r="B4" s="68" t="s">
        <v>306</v>
      </c>
      <c r="C4" s="68" t="s">
        <v>307</v>
      </c>
      <c r="D4" s="68" t="s">
        <v>377</v>
      </c>
      <c r="E4" s="68" t="s">
        <v>308</v>
      </c>
      <c r="F4" s="68" t="s">
        <v>309</v>
      </c>
      <c r="G4" s="68" t="s">
        <v>762</v>
      </c>
      <c r="H4" s="68" t="s">
        <v>310</v>
      </c>
      <c r="I4" s="68" t="s">
        <v>311</v>
      </c>
      <c r="J4" s="68" t="s">
        <v>312</v>
      </c>
      <c r="K4" s="68" t="s">
        <v>319</v>
      </c>
      <c r="L4" s="68" t="s">
        <v>320</v>
      </c>
      <c r="M4" s="72" t="s">
        <v>321</v>
      </c>
    </row>
    <row r="5" spans="1:13" ht="17.25">
      <c r="A5" s="389" t="s">
        <v>489</v>
      </c>
      <c r="B5" s="340" t="s">
        <v>449</v>
      </c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1"/>
    </row>
    <row r="6" spans="1:13" s="33" customFormat="1" ht="17.25">
      <c r="A6" s="389"/>
      <c r="B6" s="79" t="s">
        <v>318</v>
      </c>
      <c r="C6" s="80" t="s">
        <v>145</v>
      </c>
      <c r="D6" s="342">
        <v>4</v>
      </c>
      <c r="E6" s="48">
        <v>1</v>
      </c>
      <c r="F6" s="50">
        <v>0.25</v>
      </c>
      <c r="G6" s="50">
        <f>$D$6*E6*F6*176</f>
        <v>176</v>
      </c>
      <c r="H6" s="36">
        <f>VLOOKUP(C6,'Tabela DNIT-Consult-MO'!$A:$D,4,FALSE)</f>
        <v>20217.96</v>
      </c>
      <c r="I6" s="36">
        <f>F6*H6*$D$6*E6</f>
        <v>20217.96</v>
      </c>
      <c r="J6" s="70">
        <f>VLOOKUP(C6,'Tabela DNIT-Consult-MO'!$A:$F,5,FALSE)</f>
        <v>0.80049999999999999</v>
      </c>
      <c r="K6" s="36">
        <f>H6*J6</f>
        <v>16184.476979999999</v>
      </c>
      <c r="L6" s="36">
        <f>I6*J6</f>
        <v>16184.476979999999</v>
      </c>
      <c r="M6" s="37">
        <f>I6+L6</f>
        <v>36402.436979999999</v>
      </c>
    </row>
    <row r="7" spans="1:13" s="33" customFormat="1" ht="17.25">
      <c r="A7" s="389"/>
      <c r="B7" s="79" t="s">
        <v>31</v>
      </c>
      <c r="C7" s="48" t="s">
        <v>29</v>
      </c>
      <c r="D7" s="342"/>
      <c r="E7" s="48">
        <v>1</v>
      </c>
      <c r="F7" s="50">
        <v>0.25</v>
      </c>
      <c r="G7" s="50">
        <f t="shared" ref="G7:G8" si="0">$D$6*E7*F7*176</f>
        <v>176</v>
      </c>
      <c r="H7" s="36">
        <f>VLOOKUP(C7,'Tabela DNIT-Consult-MO'!$A:$D,4,FALSE)</f>
        <v>2974.3</v>
      </c>
      <c r="I7" s="36">
        <f>F7*H7*$D$6*E7</f>
        <v>2974.3</v>
      </c>
      <c r="J7" s="70">
        <f>VLOOKUP(C7,'Tabela DNIT-Consult-MO'!$A:$F,5,FALSE)</f>
        <v>0.80400000000000005</v>
      </c>
      <c r="K7" s="36">
        <f>H7*J7</f>
        <v>2391.3372000000004</v>
      </c>
      <c r="L7" s="36">
        <f>I7*J7</f>
        <v>2391.3372000000004</v>
      </c>
      <c r="M7" s="37">
        <f>I7+L7</f>
        <v>5365.637200000001</v>
      </c>
    </row>
    <row r="8" spans="1:13">
      <c r="A8" s="389"/>
      <c r="B8" s="79" t="s">
        <v>23</v>
      </c>
      <c r="C8" s="80" t="s">
        <v>24</v>
      </c>
      <c r="D8" s="342"/>
      <c r="E8" s="48">
        <v>1</v>
      </c>
      <c r="F8" s="50">
        <v>0.25</v>
      </c>
      <c r="G8" s="50">
        <f t="shared" si="0"/>
        <v>176</v>
      </c>
      <c r="H8" s="36">
        <f>VLOOKUP(C8,'Tabela DNIT-Consult-MO'!$A:$D,4,FALSE)</f>
        <v>1801.62</v>
      </c>
      <c r="I8" s="36">
        <f>F8*H8*$D$6*E8</f>
        <v>1801.62</v>
      </c>
      <c r="J8" s="70">
        <f>VLOOKUP(C8,'Tabela DNIT-Consult-MO'!$A:$F,5,FALSE)</f>
        <v>0.80479999999999996</v>
      </c>
      <c r="K8" s="36">
        <f>H8*J8</f>
        <v>1449.9437759999998</v>
      </c>
      <c r="L8" s="36">
        <f>I8*J8</f>
        <v>1449.9437759999998</v>
      </c>
      <c r="M8" s="37">
        <f>I8+L8</f>
        <v>3251.563776</v>
      </c>
    </row>
    <row r="9" spans="1:13">
      <c r="A9" s="389"/>
      <c r="B9" s="343" t="s">
        <v>4</v>
      </c>
      <c r="C9" s="343"/>
      <c r="D9" s="343"/>
      <c r="E9" s="343"/>
      <c r="F9" s="343"/>
      <c r="G9" s="343"/>
      <c r="H9" s="343"/>
      <c r="I9" s="51">
        <f>SUM(I6:I8)</f>
        <v>24993.879999999997</v>
      </c>
      <c r="J9" s="44"/>
      <c r="K9" s="44"/>
      <c r="L9" s="44"/>
      <c r="M9" s="41">
        <f>SUM(M6:M8)</f>
        <v>45019.637955999999</v>
      </c>
    </row>
    <row r="10" spans="1:13" ht="17.25">
      <c r="A10" s="389"/>
      <c r="B10" s="340" t="s">
        <v>450</v>
      </c>
      <c r="C10" s="340"/>
      <c r="D10" s="340"/>
      <c r="E10" s="340"/>
      <c r="F10" s="340"/>
      <c r="G10" s="340"/>
      <c r="H10" s="340"/>
      <c r="I10" s="340"/>
      <c r="J10" s="340"/>
      <c r="K10" s="340"/>
      <c r="L10" s="340"/>
      <c r="M10" s="341"/>
    </row>
    <row r="11" spans="1:13">
      <c r="A11" s="389"/>
      <c r="B11" s="79" t="s">
        <v>318</v>
      </c>
      <c r="C11" s="80" t="s">
        <v>145</v>
      </c>
      <c r="D11" s="342">
        <v>4</v>
      </c>
      <c r="E11" s="48">
        <v>1</v>
      </c>
      <c r="F11" s="50">
        <v>0.25</v>
      </c>
      <c r="G11" s="50">
        <f>$D$11*E11*F11*176</f>
        <v>176</v>
      </c>
      <c r="H11" s="36">
        <f>VLOOKUP(C11,'Tabela DNIT-Consult-MO'!$A:$D,4,FALSE)</f>
        <v>20217.96</v>
      </c>
      <c r="I11" s="36">
        <f>F11*H11*$D$11*E11</f>
        <v>20217.96</v>
      </c>
      <c r="J11" s="70">
        <f>VLOOKUP(C11,'Tabela DNIT-Consult-MO'!$A:$F,5,FALSE)</f>
        <v>0.80049999999999999</v>
      </c>
      <c r="K11" s="36">
        <f>H11*J11</f>
        <v>16184.476979999999</v>
      </c>
      <c r="L11" s="36">
        <f>I11*J11</f>
        <v>16184.476979999999</v>
      </c>
      <c r="M11" s="37">
        <f>I11+L11</f>
        <v>36402.436979999999</v>
      </c>
    </row>
    <row r="12" spans="1:13">
      <c r="A12" s="389"/>
      <c r="B12" s="79" t="s">
        <v>31</v>
      </c>
      <c r="C12" s="48" t="s">
        <v>29</v>
      </c>
      <c r="D12" s="342"/>
      <c r="E12" s="48">
        <v>1</v>
      </c>
      <c r="F12" s="50">
        <v>0.25</v>
      </c>
      <c r="G12" s="50">
        <f>$D$11*E12*F12*176</f>
        <v>176</v>
      </c>
      <c r="H12" s="36">
        <f>VLOOKUP(C12,'Tabela DNIT-Consult-MO'!$A:$D,4,FALSE)</f>
        <v>2974.3</v>
      </c>
      <c r="I12" s="36">
        <f>F12*H12*$D$11*E12</f>
        <v>2974.3</v>
      </c>
      <c r="J12" s="70">
        <f>VLOOKUP(C12,'Tabela DNIT-Consult-MO'!$A:$F,5,FALSE)</f>
        <v>0.80400000000000005</v>
      </c>
      <c r="K12" s="36">
        <f>H12*J12</f>
        <v>2391.3372000000004</v>
      </c>
      <c r="L12" s="36">
        <f>I12*J12</f>
        <v>2391.3372000000004</v>
      </c>
      <c r="M12" s="37">
        <f>I12+L12</f>
        <v>5365.637200000001</v>
      </c>
    </row>
    <row r="13" spans="1:13">
      <c r="A13" s="389"/>
      <c r="B13" s="79" t="s">
        <v>23</v>
      </c>
      <c r="C13" s="80" t="s">
        <v>24</v>
      </c>
      <c r="D13" s="342"/>
      <c r="E13" s="48">
        <v>1</v>
      </c>
      <c r="F13" s="50">
        <v>0.25</v>
      </c>
      <c r="G13" s="50">
        <f>$D$11*E13*F13*176</f>
        <v>176</v>
      </c>
      <c r="H13" s="36">
        <f>VLOOKUP(C13,'Tabela DNIT-Consult-MO'!$A:$D,4,FALSE)</f>
        <v>1801.62</v>
      </c>
      <c r="I13" s="36">
        <f>F13*H13*$D$11*E13</f>
        <v>1801.62</v>
      </c>
      <c r="J13" s="70">
        <f>VLOOKUP(C13,'Tabela DNIT-Consult-MO'!$A:$F,5,FALSE)</f>
        <v>0.80479999999999996</v>
      </c>
      <c r="K13" s="36">
        <f>H13*J13</f>
        <v>1449.9437759999998</v>
      </c>
      <c r="L13" s="36">
        <f>I13*J13</f>
        <v>1449.9437759999998</v>
      </c>
      <c r="M13" s="37">
        <f>I13+L13</f>
        <v>3251.563776</v>
      </c>
    </row>
    <row r="14" spans="1:13">
      <c r="A14" s="357"/>
      <c r="B14" s="343" t="s">
        <v>4</v>
      </c>
      <c r="C14" s="343"/>
      <c r="D14" s="343"/>
      <c r="E14" s="343"/>
      <c r="F14" s="343"/>
      <c r="G14" s="343"/>
      <c r="H14" s="343"/>
      <c r="I14" s="51">
        <f>SUM(I11:I13)</f>
        <v>24993.879999999997</v>
      </c>
      <c r="J14" s="44"/>
      <c r="K14" s="44"/>
      <c r="L14" s="44"/>
      <c r="M14" s="41">
        <f>SUM(M11:M13)</f>
        <v>45019.637955999999</v>
      </c>
    </row>
    <row r="15" spans="1:13" ht="17.25">
      <c r="A15" s="357"/>
      <c r="B15" s="340" t="s">
        <v>631</v>
      </c>
      <c r="C15" s="340"/>
      <c r="D15" s="340"/>
      <c r="E15" s="340"/>
      <c r="F15" s="340"/>
      <c r="G15" s="340"/>
      <c r="H15" s="340"/>
      <c r="I15" s="340"/>
      <c r="J15" s="340"/>
      <c r="K15" s="340"/>
      <c r="L15" s="340"/>
      <c r="M15" s="341"/>
    </row>
    <row r="16" spans="1:13">
      <c r="A16" s="357"/>
      <c r="B16" s="79" t="s">
        <v>318</v>
      </c>
      <c r="C16" s="80" t="s">
        <v>145</v>
      </c>
      <c r="D16" s="342">
        <v>4</v>
      </c>
      <c r="E16" s="156">
        <v>1</v>
      </c>
      <c r="F16" s="50">
        <v>0.25</v>
      </c>
      <c r="G16" s="50">
        <f>$D$16*E16*F16*176</f>
        <v>176</v>
      </c>
      <c r="H16" s="36">
        <f>VLOOKUP(C16,'Tabela DNIT-Consult-MO'!$A:$D,4,FALSE)</f>
        <v>20217.96</v>
      </c>
      <c r="I16" s="36">
        <f>F16*H16*$D$11*E16</f>
        <v>20217.96</v>
      </c>
      <c r="J16" s="70">
        <f>VLOOKUP(C16,'Tabela DNIT-Consult-MO'!$A:$F,5,FALSE)</f>
        <v>0.80049999999999999</v>
      </c>
      <c r="K16" s="36">
        <f>H16*J16</f>
        <v>16184.476979999999</v>
      </c>
      <c r="L16" s="36">
        <f>I16*J16</f>
        <v>16184.476979999999</v>
      </c>
      <c r="M16" s="37">
        <f>I16+L16</f>
        <v>36402.436979999999</v>
      </c>
    </row>
    <row r="17" spans="1:13">
      <c r="A17" s="357"/>
      <c r="B17" s="79" t="s">
        <v>31</v>
      </c>
      <c r="C17" s="156" t="s">
        <v>29</v>
      </c>
      <c r="D17" s="342"/>
      <c r="E17" s="156">
        <v>1</v>
      </c>
      <c r="F17" s="50">
        <v>0.25</v>
      </c>
      <c r="G17" s="50">
        <f>$D$16*E17*F17*176</f>
        <v>176</v>
      </c>
      <c r="H17" s="36">
        <f>VLOOKUP(C17,'Tabela DNIT-Consult-MO'!$A:$D,4,FALSE)</f>
        <v>2974.3</v>
      </c>
      <c r="I17" s="36">
        <f>F17*H17*$D$11*E17</f>
        <v>2974.3</v>
      </c>
      <c r="J17" s="70">
        <f>VLOOKUP(C17,'Tabela DNIT-Consult-MO'!$A:$F,5,FALSE)</f>
        <v>0.80400000000000005</v>
      </c>
      <c r="K17" s="36">
        <f>H17*J17</f>
        <v>2391.3372000000004</v>
      </c>
      <c r="L17" s="36">
        <f>I17*J17</f>
        <v>2391.3372000000004</v>
      </c>
      <c r="M17" s="37">
        <f>I17+L17</f>
        <v>5365.637200000001</v>
      </c>
    </row>
    <row r="18" spans="1:13">
      <c r="A18" s="357"/>
      <c r="B18" s="79" t="s">
        <v>23</v>
      </c>
      <c r="C18" s="80" t="s">
        <v>24</v>
      </c>
      <c r="D18" s="342"/>
      <c r="E18" s="156">
        <v>1</v>
      </c>
      <c r="F18" s="50">
        <v>0.25</v>
      </c>
      <c r="G18" s="50">
        <f>$D$16*E18*F18*176</f>
        <v>176</v>
      </c>
      <c r="H18" s="36">
        <f>VLOOKUP(C18,'Tabela DNIT-Consult-MO'!$A:$D,4,FALSE)</f>
        <v>1801.62</v>
      </c>
      <c r="I18" s="36">
        <f>F18*H18*$D$11*E18</f>
        <v>1801.62</v>
      </c>
      <c r="J18" s="70">
        <f>VLOOKUP(C18,'Tabela DNIT-Consult-MO'!$A:$F,5,FALSE)</f>
        <v>0.80479999999999996</v>
      </c>
      <c r="K18" s="36">
        <f>H18*J18</f>
        <v>1449.9437759999998</v>
      </c>
      <c r="L18" s="36">
        <f>I18*J18</f>
        <v>1449.9437759999998</v>
      </c>
      <c r="M18" s="37">
        <f>I18+L18</f>
        <v>3251.563776</v>
      </c>
    </row>
    <row r="19" spans="1:13" ht="15.75" thickBot="1">
      <c r="A19" s="390"/>
      <c r="B19" s="346" t="s">
        <v>4</v>
      </c>
      <c r="C19" s="346"/>
      <c r="D19" s="346"/>
      <c r="E19" s="346"/>
      <c r="F19" s="346"/>
      <c r="G19" s="346"/>
      <c r="H19" s="346"/>
      <c r="I19" s="73">
        <f>SUM(I16:I18)</f>
        <v>24993.879999999997</v>
      </c>
      <c r="J19" s="74"/>
      <c r="K19" s="74"/>
      <c r="L19" s="74"/>
      <c r="M19" s="42">
        <f>SUM(M16:M18)</f>
        <v>45019.637955999999</v>
      </c>
    </row>
    <row r="20" spans="1:13" ht="22.5" customHeight="1" thickBot="1">
      <c r="A20" s="38"/>
      <c r="B20" s="391" t="s">
        <v>451</v>
      </c>
      <c r="C20" s="391"/>
      <c r="D20" s="391"/>
      <c r="E20" s="391"/>
      <c r="F20" s="391"/>
      <c r="G20" s="391"/>
      <c r="H20" s="391"/>
      <c r="I20" s="391"/>
      <c r="J20" s="26"/>
      <c r="K20" s="26"/>
      <c r="L20" s="26"/>
      <c r="M20" s="40"/>
    </row>
    <row r="21" spans="1:13">
      <c r="A21" s="392" t="s">
        <v>400</v>
      </c>
      <c r="B21" s="393"/>
      <c r="C21" s="393"/>
      <c r="D21" s="393"/>
      <c r="E21" s="393"/>
      <c r="F21" s="393"/>
      <c r="G21" s="393"/>
      <c r="H21" s="394"/>
    </row>
    <row r="22" spans="1:13" ht="45">
      <c r="A22" s="260" t="s">
        <v>378</v>
      </c>
      <c r="B22" s="45" t="s">
        <v>403</v>
      </c>
      <c r="C22" s="46" t="s">
        <v>404</v>
      </c>
      <c r="D22" s="46" t="s">
        <v>407</v>
      </c>
      <c r="E22" s="46" t="s">
        <v>405</v>
      </c>
      <c r="F22" s="46" t="s">
        <v>408</v>
      </c>
      <c r="G22" s="46" t="s">
        <v>406</v>
      </c>
      <c r="H22" s="64" t="s">
        <v>416</v>
      </c>
    </row>
    <row r="23" spans="1:13">
      <c r="A23" s="389" t="s">
        <v>490</v>
      </c>
      <c r="B23" s="344" t="s">
        <v>429</v>
      </c>
      <c r="C23" s="344"/>
      <c r="D23" s="344"/>
      <c r="E23" s="344"/>
      <c r="F23" s="344"/>
      <c r="G23" s="344"/>
      <c r="H23" s="345"/>
    </row>
    <row r="24" spans="1:13">
      <c r="A24" s="389"/>
      <c r="B24" s="44" t="s">
        <v>247</v>
      </c>
      <c r="C24" s="262" t="s">
        <v>402</v>
      </c>
      <c r="D24" s="49">
        <v>1</v>
      </c>
      <c r="E24" s="50">
        <f t="shared" ref="E24:E25" si="1">4*0.25</f>
        <v>1</v>
      </c>
      <c r="F24" s="49">
        <f>D24*E24</f>
        <v>1</v>
      </c>
      <c r="G24" s="36">
        <f>(('Tabela DNIT-Consult-BDI'!$H$5*66)+('Tabela DNIT-Consult-BDI'!$I$5*116.49))</f>
        <v>3213.6885000000002</v>
      </c>
      <c r="H24" s="31">
        <f>G24*F24</f>
        <v>3213.6885000000002</v>
      </c>
    </row>
    <row r="25" spans="1:13">
      <c r="A25" s="389"/>
      <c r="B25" s="44" t="s">
        <v>401</v>
      </c>
      <c r="C25" s="262" t="s">
        <v>33</v>
      </c>
      <c r="D25" s="50">
        <f>(E6+E8+E7)*D6*2</f>
        <v>24</v>
      </c>
      <c r="E25" s="50">
        <f t="shared" si="1"/>
        <v>1</v>
      </c>
      <c r="F25" s="49">
        <f>D25*E25</f>
        <v>24</v>
      </c>
      <c r="G25" s="52">
        <f>Diárias!$E$5</f>
        <v>364.43999999999994</v>
      </c>
      <c r="H25" s="31">
        <f>G25*F25</f>
        <v>8746.5599999999977</v>
      </c>
    </row>
    <row r="26" spans="1:13">
      <c r="A26" s="389"/>
      <c r="B26" s="343" t="s">
        <v>4</v>
      </c>
      <c r="C26" s="343"/>
      <c r="D26" s="343"/>
      <c r="E26" s="343"/>
      <c r="F26" s="343"/>
      <c r="G26" s="343"/>
      <c r="H26" s="31">
        <f>SUM(H24:H25)</f>
        <v>11960.248499999998</v>
      </c>
    </row>
    <row r="27" spans="1:13">
      <c r="A27" s="389"/>
      <c r="B27" s="344" t="s">
        <v>430</v>
      </c>
      <c r="C27" s="344"/>
      <c r="D27" s="344"/>
      <c r="E27" s="344"/>
      <c r="F27" s="344"/>
      <c r="G27" s="344"/>
      <c r="H27" s="345"/>
    </row>
    <row r="28" spans="1:13">
      <c r="A28" s="389"/>
      <c r="B28" s="44" t="s">
        <v>247</v>
      </c>
      <c r="C28" s="262" t="s">
        <v>402</v>
      </c>
      <c r="D28" s="49">
        <v>1</v>
      </c>
      <c r="E28" s="50">
        <f t="shared" ref="E28:E29" si="2">4*0.25</f>
        <v>1</v>
      </c>
      <c r="F28" s="49">
        <f>D28*E28</f>
        <v>1</v>
      </c>
      <c r="G28" s="36">
        <f>(('Tabela DNIT-Consult-BDI'!$H$5*66)+('Tabela DNIT-Consult-BDI'!$I$5*116.49))</f>
        <v>3213.6885000000002</v>
      </c>
      <c r="H28" s="31">
        <f>G28*F28</f>
        <v>3213.6885000000002</v>
      </c>
    </row>
    <row r="29" spans="1:13">
      <c r="A29" s="389"/>
      <c r="B29" s="44" t="s">
        <v>401</v>
      </c>
      <c r="C29" s="262" t="s">
        <v>33</v>
      </c>
      <c r="D29" s="50">
        <f>(E11+E13+E12)*D11*2</f>
        <v>24</v>
      </c>
      <c r="E29" s="50">
        <f t="shared" si="2"/>
        <v>1</v>
      </c>
      <c r="F29" s="49">
        <f>D29*E29</f>
        <v>24</v>
      </c>
      <c r="G29" s="52">
        <f>Diárias!$E$5</f>
        <v>364.43999999999994</v>
      </c>
      <c r="H29" s="31">
        <f>G29*F29</f>
        <v>8746.5599999999977</v>
      </c>
    </row>
    <row r="30" spans="1:13">
      <c r="A30" s="357"/>
      <c r="B30" s="343" t="s">
        <v>4</v>
      </c>
      <c r="C30" s="343"/>
      <c r="D30" s="343"/>
      <c r="E30" s="343"/>
      <c r="F30" s="343"/>
      <c r="G30" s="343"/>
      <c r="H30" s="31">
        <f>SUM(H22:H23)</f>
        <v>0</v>
      </c>
    </row>
    <row r="31" spans="1:13">
      <c r="A31" s="357"/>
      <c r="B31" s="344" t="s">
        <v>632</v>
      </c>
      <c r="C31" s="344"/>
      <c r="D31" s="344"/>
      <c r="E31" s="344"/>
      <c r="F31" s="344"/>
      <c r="G31" s="344"/>
      <c r="H31" s="345"/>
    </row>
    <row r="32" spans="1:13">
      <c r="A32" s="357"/>
      <c r="B32" s="44" t="s">
        <v>247</v>
      </c>
      <c r="C32" s="262" t="s">
        <v>402</v>
      </c>
      <c r="D32" s="49">
        <v>1</v>
      </c>
      <c r="E32" s="50">
        <f t="shared" ref="E32:E33" si="3">4*0.25</f>
        <v>1</v>
      </c>
      <c r="F32" s="49">
        <f>D32*E32</f>
        <v>1</v>
      </c>
      <c r="G32" s="36">
        <f>(('Tabela DNIT-Consult-BDI'!$H$5*66)+('Tabela DNIT-Consult-BDI'!$I$5*116.49))</f>
        <v>3213.6885000000002</v>
      </c>
      <c r="H32" s="31">
        <f>G32*F32</f>
        <v>3213.6885000000002</v>
      </c>
    </row>
    <row r="33" spans="1:19">
      <c r="A33" s="357"/>
      <c r="B33" s="44" t="s">
        <v>401</v>
      </c>
      <c r="C33" s="262" t="s">
        <v>33</v>
      </c>
      <c r="D33" s="50">
        <f>(E16+E18+E17)*D16*2</f>
        <v>24</v>
      </c>
      <c r="E33" s="50">
        <f t="shared" si="3"/>
        <v>1</v>
      </c>
      <c r="F33" s="49">
        <f>D33*E33</f>
        <v>24</v>
      </c>
      <c r="G33" s="52">
        <f>Diárias!$E$5</f>
        <v>364.43999999999994</v>
      </c>
      <c r="H33" s="31">
        <f>G33*F33</f>
        <v>8746.5599999999977</v>
      </c>
    </row>
    <row r="34" spans="1:19" ht="15.75" thickBot="1">
      <c r="A34" s="390"/>
      <c r="B34" s="346" t="s">
        <v>4</v>
      </c>
      <c r="C34" s="346"/>
      <c r="D34" s="346"/>
      <c r="E34" s="346"/>
      <c r="F34" s="346"/>
      <c r="G34" s="346"/>
      <c r="H34" s="264">
        <f>SUM(H32:H33)</f>
        <v>11960.248499999998</v>
      </c>
    </row>
    <row r="35" spans="1:19" ht="15.75">
      <c r="A35" s="35"/>
      <c r="B35" s="391"/>
      <c r="C35" s="391"/>
      <c r="D35" s="391"/>
      <c r="E35" s="391"/>
      <c r="F35" s="391"/>
      <c r="G35" s="391"/>
      <c r="H35" s="391"/>
      <c r="I35" s="391"/>
      <c r="L35" s="29"/>
      <c r="M35" s="30"/>
    </row>
    <row r="36" spans="1:19" ht="15.75" thickBot="1"/>
    <row r="37" spans="1:19" ht="21.75" thickBot="1">
      <c r="B37" s="381" t="s">
        <v>445</v>
      </c>
      <c r="C37" s="382"/>
      <c r="D37" s="382"/>
      <c r="E37" s="382"/>
      <c r="F37" s="383"/>
      <c r="H37" s="381" t="s">
        <v>446</v>
      </c>
      <c r="I37" s="382"/>
      <c r="J37" s="382"/>
      <c r="K37" s="382"/>
      <c r="L37" s="383"/>
    </row>
    <row r="38" spans="1:19">
      <c r="B38" s="355" t="s">
        <v>1</v>
      </c>
      <c r="C38" s="356"/>
      <c r="D38" s="356"/>
      <c r="E38" s="379" t="s">
        <v>2</v>
      </c>
      <c r="F38" s="380"/>
      <c r="H38" s="355" t="s">
        <v>1</v>
      </c>
      <c r="I38" s="356"/>
      <c r="J38" s="356"/>
      <c r="K38" s="356" t="s">
        <v>2</v>
      </c>
      <c r="L38" s="395"/>
    </row>
    <row r="39" spans="1:19" ht="15.75" thickBot="1">
      <c r="B39" s="357"/>
      <c r="C39" s="358"/>
      <c r="D39" s="358"/>
      <c r="E39" s="261" t="s">
        <v>3</v>
      </c>
      <c r="F39" s="54" t="s">
        <v>4</v>
      </c>
      <c r="H39" s="357"/>
      <c r="I39" s="358"/>
      <c r="J39" s="358"/>
      <c r="K39" s="53" t="s">
        <v>3</v>
      </c>
      <c r="L39" s="54" t="s">
        <v>4</v>
      </c>
    </row>
    <row r="40" spans="1:19">
      <c r="B40" s="359" t="s">
        <v>398</v>
      </c>
      <c r="C40" s="360"/>
      <c r="D40" s="360"/>
      <c r="E40" s="360"/>
      <c r="F40" s="361">
        <f>SUM(E41:E42)</f>
        <v>45019.637955999999</v>
      </c>
      <c r="H40" s="359" t="s">
        <v>398</v>
      </c>
      <c r="I40" s="360"/>
      <c r="J40" s="360"/>
      <c r="K40" s="360"/>
      <c r="L40" s="361">
        <f>SUM(K41:K42)</f>
        <v>45019.637955999999</v>
      </c>
    </row>
    <row r="41" spans="1:19">
      <c r="B41" s="363" t="s">
        <v>5</v>
      </c>
      <c r="C41" s="378" t="s">
        <v>6</v>
      </c>
      <c r="D41" s="378"/>
      <c r="E41" s="85">
        <f>M6</f>
        <v>36402.436979999999</v>
      </c>
      <c r="F41" s="362"/>
      <c r="H41" s="363" t="s">
        <v>5</v>
      </c>
      <c r="I41" s="378" t="s">
        <v>6</v>
      </c>
      <c r="J41" s="378"/>
      <c r="K41" s="85">
        <f>M11</f>
        <v>36402.436979999999</v>
      </c>
      <c r="L41" s="362"/>
    </row>
    <row r="42" spans="1:19" ht="15.75" thickBot="1">
      <c r="B42" s="364"/>
      <c r="C42" s="378" t="s">
        <v>7</v>
      </c>
      <c r="D42" s="378"/>
      <c r="E42" s="85">
        <f>M7+M8</f>
        <v>8617.2009760000001</v>
      </c>
      <c r="F42" s="362"/>
      <c r="H42" s="364"/>
      <c r="I42" s="378" t="s">
        <v>7</v>
      </c>
      <c r="J42" s="378"/>
      <c r="K42" s="85">
        <f>M12+M13</f>
        <v>8617.2009760000001</v>
      </c>
      <c r="L42" s="362"/>
    </row>
    <row r="43" spans="1:19">
      <c r="B43" s="352" t="s">
        <v>414</v>
      </c>
      <c r="C43" s="353"/>
      <c r="D43" s="353"/>
      <c r="E43" s="354"/>
      <c r="F43" s="371">
        <f>SUM(E44)</f>
        <v>5510.4036858144</v>
      </c>
      <c r="H43" s="352" t="s">
        <v>414</v>
      </c>
      <c r="I43" s="353"/>
      <c r="J43" s="353"/>
      <c r="K43" s="354"/>
      <c r="L43" s="371">
        <f>SUM(K44)</f>
        <v>5510.4036858144</v>
      </c>
      <c r="N43" s="30"/>
      <c r="S43" s="30"/>
    </row>
    <row r="44" spans="1:19" ht="15.75" thickBot="1">
      <c r="B44" s="55" t="s">
        <v>8</v>
      </c>
      <c r="C44" s="78">
        <f>'Tabela DNIT-Consult-BDI'!$I$27/100</f>
        <v>0.12240000000000001</v>
      </c>
      <c r="D44" s="58" t="s">
        <v>9</v>
      </c>
      <c r="E44" s="85">
        <f>F40*C44</f>
        <v>5510.4036858144</v>
      </c>
      <c r="F44" s="368"/>
      <c r="H44" s="55" t="s">
        <v>8</v>
      </c>
      <c r="I44" s="78">
        <f>'Tabela DNIT-Consult-BDI'!$I$27/100</f>
        <v>0.12240000000000001</v>
      </c>
      <c r="J44" s="58" t="s">
        <v>9</v>
      </c>
      <c r="K44" s="85">
        <f>L40*I44</f>
        <v>5510.4036858144</v>
      </c>
      <c r="L44" s="368"/>
    </row>
    <row r="45" spans="1:19">
      <c r="B45" s="352" t="s">
        <v>415</v>
      </c>
      <c r="C45" s="353"/>
      <c r="D45" s="353"/>
      <c r="E45" s="354"/>
      <c r="F45" s="372">
        <f>SUM(E46:E47)</f>
        <v>11960.248499999998</v>
      </c>
      <c r="H45" s="352" t="s">
        <v>415</v>
      </c>
      <c r="I45" s="353"/>
      <c r="J45" s="353"/>
      <c r="K45" s="354"/>
      <c r="L45" s="372">
        <f>SUM(K46:K47)</f>
        <v>11960.248499999998</v>
      </c>
    </row>
    <row r="46" spans="1:19">
      <c r="B46" s="373" t="s">
        <v>486</v>
      </c>
      <c r="C46" s="374"/>
      <c r="D46" s="374"/>
      <c r="E46" s="85">
        <f>H24</f>
        <v>3213.6885000000002</v>
      </c>
      <c r="F46" s="372"/>
      <c r="H46" s="373" t="s">
        <v>486</v>
      </c>
      <c r="I46" s="374"/>
      <c r="J46" s="374"/>
      <c r="K46" s="85">
        <f>H28</f>
        <v>3213.6885000000002</v>
      </c>
      <c r="L46" s="372"/>
    </row>
    <row r="47" spans="1:19" ht="15.75" thickBot="1">
      <c r="B47" s="375" t="s">
        <v>487</v>
      </c>
      <c r="C47" s="376"/>
      <c r="D47" s="377"/>
      <c r="E47" s="85">
        <f>H25</f>
        <v>8746.5599999999977</v>
      </c>
      <c r="F47" s="372"/>
      <c r="H47" s="375" t="s">
        <v>487</v>
      </c>
      <c r="I47" s="376"/>
      <c r="J47" s="377"/>
      <c r="K47" s="85">
        <f>H29</f>
        <v>8746.5599999999977</v>
      </c>
      <c r="L47" s="372"/>
      <c r="N47" s="30"/>
      <c r="S47" s="30"/>
    </row>
    <row r="48" spans="1:19">
      <c r="B48" s="347" t="s">
        <v>10</v>
      </c>
      <c r="C48" s="348"/>
      <c r="D48" s="349"/>
      <c r="E48" s="86" t="s">
        <v>417</v>
      </c>
      <c r="F48" s="263">
        <f>F45+F43+F40</f>
        <v>62490.290141814396</v>
      </c>
      <c r="H48" s="347" t="s">
        <v>10</v>
      </c>
      <c r="I48" s="348"/>
      <c r="J48" s="349"/>
      <c r="K48" s="86" t="s">
        <v>417</v>
      </c>
      <c r="L48" s="81">
        <f>L45+L43+L40</f>
        <v>62490.290141814396</v>
      </c>
    </row>
    <row r="49" spans="2:12">
      <c r="B49" s="350" t="s">
        <v>11</v>
      </c>
      <c r="C49" s="351"/>
      <c r="D49" s="351"/>
      <c r="E49" s="351"/>
      <c r="F49" s="362">
        <f>D50*F48</f>
        <v>7498.8348170177269</v>
      </c>
      <c r="H49" s="350" t="s">
        <v>11</v>
      </c>
      <c r="I49" s="351"/>
      <c r="J49" s="351"/>
      <c r="K49" s="351"/>
      <c r="L49" s="362">
        <f>J50*L48</f>
        <v>7498.8348170177269</v>
      </c>
    </row>
    <row r="50" spans="2:12">
      <c r="B50" s="365" t="s">
        <v>8</v>
      </c>
      <c r="C50" s="366"/>
      <c r="D50" s="77">
        <f>'Tabela DNIT-Consult-BDI'!$I$30/100</f>
        <v>0.12</v>
      </c>
      <c r="E50" s="87" t="s">
        <v>12</v>
      </c>
      <c r="F50" s="362"/>
      <c r="H50" s="365" t="s">
        <v>8</v>
      </c>
      <c r="I50" s="366"/>
      <c r="J50" s="77">
        <f>'Tabela DNIT-Consult-BDI'!$I$30/100</f>
        <v>0.12</v>
      </c>
      <c r="K50" s="87" t="s">
        <v>12</v>
      </c>
      <c r="L50" s="362"/>
    </row>
    <row r="51" spans="2:12">
      <c r="B51" s="350" t="s">
        <v>13</v>
      </c>
      <c r="C51" s="351"/>
      <c r="D51" s="351"/>
      <c r="E51" s="351"/>
      <c r="F51" s="367">
        <f>D52*(F48+F49)</f>
        <v>14445.755391502949</v>
      </c>
      <c r="H51" s="350" t="s">
        <v>13</v>
      </c>
      <c r="I51" s="351"/>
      <c r="J51" s="351"/>
      <c r="K51" s="351"/>
      <c r="L51" s="367">
        <f>J52*(L48+L49)</f>
        <v>14445.755391502949</v>
      </c>
    </row>
    <row r="52" spans="2:12" ht="15.75" thickBot="1">
      <c r="B52" s="369" t="s">
        <v>8</v>
      </c>
      <c r="C52" s="370"/>
      <c r="D52" s="78">
        <f>'Tabela DNIT-Consult-BDI'!$I$35/100</f>
        <v>0.2064</v>
      </c>
      <c r="E52" s="88" t="s">
        <v>14</v>
      </c>
      <c r="F52" s="368"/>
      <c r="H52" s="369" t="s">
        <v>8</v>
      </c>
      <c r="I52" s="370"/>
      <c r="J52" s="78">
        <f>'Tabela DNIT-Consult-BDI'!$I$35/100</f>
        <v>0.2064</v>
      </c>
      <c r="K52" s="88" t="s">
        <v>14</v>
      </c>
      <c r="L52" s="368"/>
    </row>
    <row r="53" spans="2:12" ht="15.75" thickBot="1">
      <c r="B53" s="337" t="s">
        <v>419</v>
      </c>
      <c r="C53" s="338"/>
      <c r="D53" s="339"/>
      <c r="E53" s="89" t="s">
        <v>15</v>
      </c>
      <c r="F53" s="82">
        <f>SUM(F48:F52)</f>
        <v>84434.880350335065</v>
      </c>
      <c r="H53" s="337" t="s">
        <v>419</v>
      </c>
      <c r="I53" s="338"/>
      <c r="J53" s="339"/>
      <c r="K53" s="89" t="s">
        <v>15</v>
      </c>
      <c r="L53" s="82">
        <f>SUM(L48:L52)</f>
        <v>84434.880350335065</v>
      </c>
    </row>
    <row r="54" spans="2:12" ht="15.75" thickBot="1">
      <c r="B54" s="60" t="s">
        <v>418</v>
      </c>
      <c r="C54" s="61"/>
      <c r="D54" s="61"/>
      <c r="E54" s="91" t="s">
        <v>494</v>
      </c>
      <c r="F54" s="90">
        <f>F53/4</f>
        <v>21108.720087583766</v>
      </c>
      <c r="H54" s="60" t="s">
        <v>418</v>
      </c>
      <c r="I54" s="61"/>
      <c r="J54" s="61"/>
      <c r="K54" s="91" t="s">
        <v>494</v>
      </c>
      <c r="L54" s="90">
        <f>L53/4</f>
        <v>21108.720087583766</v>
      </c>
    </row>
    <row r="56" spans="2:12" ht="15.75" thickBot="1"/>
    <row r="57" spans="2:12" ht="21.75" thickBot="1">
      <c r="B57" s="381" t="s">
        <v>633</v>
      </c>
      <c r="C57" s="382"/>
      <c r="D57" s="382"/>
      <c r="E57" s="382"/>
      <c r="F57" s="383"/>
    </row>
    <row r="58" spans="2:12">
      <c r="B58" s="355" t="s">
        <v>1</v>
      </c>
      <c r="C58" s="356"/>
      <c r="D58" s="356"/>
      <c r="E58" s="379" t="s">
        <v>2</v>
      </c>
      <c r="F58" s="380"/>
    </row>
    <row r="59" spans="2:12" ht="15.75" thickBot="1">
      <c r="B59" s="357"/>
      <c r="C59" s="358"/>
      <c r="D59" s="358"/>
      <c r="E59" s="261" t="s">
        <v>3</v>
      </c>
      <c r="F59" s="54" t="s">
        <v>4</v>
      </c>
    </row>
    <row r="60" spans="2:12">
      <c r="B60" s="359" t="s">
        <v>398</v>
      </c>
      <c r="C60" s="360"/>
      <c r="D60" s="360"/>
      <c r="E60" s="360"/>
      <c r="F60" s="361">
        <f>SUM(E61:E62)</f>
        <v>45019.637955999999</v>
      </c>
    </row>
    <row r="61" spans="2:12">
      <c r="B61" s="363" t="s">
        <v>5</v>
      </c>
      <c r="C61" s="378" t="s">
        <v>6</v>
      </c>
      <c r="D61" s="378"/>
      <c r="E61" s="85">
        <f>M16</f>
        <v>36402.436979999999</v>
      </c>
      <c r="F61" s="362"/>
    </row>
    <row r="62" spans="2:12" ht="15.75" thickBot="1">
      <c r="B62" s="364"/>
      <c r="C62" s="378" t="s">
        <v>7</v>
      </c>
      <c r="D62" s="378"/>
      <c r="E62" s="85">
        <f>M17+M18</f>
        <v>8617.2009760000001</v>
      </c>
      <c r="F62" s="362"/>
    </row>
    <row r="63" spans="2:12">
      <c r="B63" s="352" t="s">
        <v>414</v>
      </c>
      <c r="C63" s="353"/>
      <c r="D63" s="353"/>
      <c r="E63" s="354"/>
      <c r="F63" s="371">
        <f>SUM(E64)</f>
        <v>5510.4036858144</v>
      </c>
    </row>
    <row r="64" spans="2:12" ht="15.75" thickBot="1">
      <c r="B64" s="55" t="s">
        <v>8</v>
      </c>
      <c r="C64" s="78">
        <f>'Tabela DNIT-Consult-BDI'!$I$27/100</f>
        <v>0.12240000000000001</v>
      </c>
      <c r="D64" s="58" t="s">
        <v>9</v>
      </c>
      <c r="E64" s="85">
        <f>F60*C64</f>
        <v>5510.4036858144</v>
      </c>
      <c r="F64" s="368"/>
    </row>
    <row r="65" spans="2:7">
      <c r="B65" s="352" t="s">
        <v>415</v>
      </c>
      <c r="C65" s="353"/>
      <c r="D65" s="353"/>
      <c r="E65" s="354"/>
      <c r="F65" s="372">
        <f>SUM(E66:E67)</f>
        <v>11960.248499999998</v>
      </c>
    </row>
    <row r="66" spans="2:7">
      <c r="B66" s="373" t="s">
        <v>486</v>
      </c>
      <c r="C66" s="374"/>
      <c r="D66" s="374"/>
      <c r="E66" s="85">
        <f>H32</f>
        <v>3213.6885000000002</v>
      </c>
      <c r="F66" s="372"/>
    </row>
    <row r="67" spans="2:7" ht="15.75" thickBot="1">
      <c r="B67" s="375" t="s">
        <v>487</v>
      </c>
      <c r="C67" s="376"/>
      <c r="D67" s="377"/>
      <c r="E67" s="85">
        <f>H33</f>
        <v>8746.5599999999977</v>
      </c>
      <c r="F67" s="372"/>
    </row>
    <row r="68" spans="2:7">
      <c r="B68" s="347" t="s">
        <v>10</v>
      </c>
      <c r="C68" s="348"/>
      <c r="D68" s="349"/>
      <c r="E68" s="86" t="s">
        <v>417</v>
      </c>
      <c r="F68" s="263">
        <f>F65+F63+F60</f>
        <v>62490.290141814396</v>
      </c>
    </row>
    <row r="69" spans="2:7">
      <c r="B69" s="350" t="s">
        <v>11</v>
      </c>
      <c r="C69" s="351"/>
      <c r="D69" s="351"/>
      <c r="E69" s="351"/>
      <c r="F69" s="362">
        <f>D70*F68</f>
        <v>7498.8348170177269</v>
      </c>
    </row>
    <row r="70" spans="2:7">
      <c r="B70" s="365" t="s">
        <v>8</v>
      </c>
      <c r="C70" s="366"/>
      <c r="D70" s="77">
        <f>'Tabela DNIT-Consult-BDI'!$I$30/100</f>
        <v>0.12</v>
      </c>
      <c r="E70" s="87" t="s">
        <v>12</v>
      </c>
      <c r="F70" s="362"/>
    </row>
    <row r="71" spans="2:7">
      <c r="B71" s="350" t="s">
        <v>13</v>
      </c>
      <c r="C71" s="351"/>
      <c r="D71" s="351"/>
      <c r="E71" s="351"/>
      <c r="F71" s="367">
        <f>D72*(F68+F69)</f>
        <v>14445.755391502949</v>
      </c>
    </row>
    <row r="72" spans="2:7" ht="15.75" thickBot="1">
      <c r="B72" s="369" t="s">
        <v>8</v>
      </c>
      <c r="C72" s="370"/>
      <c r="D72" s="78">
        <f>'Tabela DNIT-Consult-BDI'!$I$35/100</f>
        <v>0.2064</v>
      </c>
      <c r="E72" s="88" t="s">
        <v>14</v>
      </c>
      <c r="F72" s="368"/>
    </row>
    <row r="73" spans="2:7" ht="15.75" thickBot="1">
      <c r="B73" s="337" t="s">
        <v>419</v>
      </c>
      <c r="C73" s="338"/>
      <c r="D73" s="339"/>
      <c r="E73" s="89" t="s">
        <v>15</v>
      </c>
      <c r="F73" s="82">
        <f>SUM(F68:F72)</f>
        <v>84434.880350335065</v>
      </c>
    </row>
    <row r="74" spans="2:7" ht="15.75" thickBot="1">
      <c r="B74" s="60" t="s">
        <v>418</v>
      </c>
      <c r="C74" s="61"/>
      <c r="D74" s="61"/>
      <c r="E74" s="91" t="s">
        <v>494</v>
      </c>
      <c r="F74" s="90">
        <f>F73/4</f>
        <v>21108.720087583766</v>
      </c>
    </row>
    <row r="78" spans="2:7">
      <c r="G78" s="43"/>
    </row>
  </sheetData>
  <mergeCells count="89">
    <mergeCell ref="B37:F37"/>
    <mergeCell ref="E38:F38"/>
    <mergeCell ref="B20:I20"/>
    <mergeCell ref="A21:H21"/>
    <mergeCell ref="A23:A34"/>
    <mergeCell ref="B35:I35"/>
    <mergeCell ref="B23:H23"/>
    <mergeCell ref="B27:H27"/>
    <mergeCell ref="B38:D39"/>
    <mergeCell ref="B26:G26"/>
    <mergeCell ref="H37:L37"/>
    <mergeCell ref="H38:J39"/>
    <mergeCell ref="K38:L38"/>
    <mergeCell ref="B49:E49"/>
    <mergeCell ref="B48:D48"/>
    <mergeCell ref="H51:K51"/>
    <mergeCell ref="H49:K49"/>
    <mergeCell ref="H48:J48"/>
    <mergeCell ref="A1:M1"/>
    <mergeCell ref="A2:M2"/>
    <mergeCell ref="A3:M3"/>
    <mergeCell ref="A5:A19"/>
    <mergeCell ref="B5:M5"/>
    <mergeCell ref="D6:D8"/>
    <mergeCell ref="B9:H9"/>
    <mergeCell ref="B10:M10"/>
    <mergeCell ref="D11:D13"/>
    <mergeCell ref="B19:H19"/>
    <mergeCell ref="B46:D46"/>
    <mergeCell ref="B47:D47"/>
    <mergeCell ref="B40:E40"/>
    <mergeCell ref="F40:F42"/>
    <mergeCell ref="B41:B42"/>
    <mergeCell ref="C41:D41"/>
    <mergeCell ref="C42:D42"/>
    <mergeCell ref="H40:K40"/>
    <mergeCell ref="L40:L42"/>
    <mergeCell ref="H41:H42"/>
    <mergeCell ref="I41:J41"/>
    <mergeCell ref="I42:J42"/>
    <mergeCell ref="H43:K43"/>
    <mergeCell ref="L43:L44"/>
    <mergeCell ref="F49:F50"/>
    <mergeCell ref="B50:C50"/>
    <mergeCell ref="F51:F52"/>
    <mergeCell ref="B52:C52"/>
    <mergeCell ref="H45:K45"/>
    <mergeCell ref="L45:L47"/>
    <mergeCell ref="H46:J46"/>
    <mergeCell ref="H47:J47"/>
    <mergeCell ref="L49:L50"/>
    <mergeCell ref="H50:I50"/>
    <mergeCell ref="B43:E43"/>
    <mergeCell ref="F43:F44"/>
    <mergeCell ref="B45:E45"/>
    <mergeCell ref="F45:F47"/>
    <mergeCell ref="B53:D53"/>
    <mergeCell ref="C61:D61"/>
    <mergeCell ref="C62:D62"/>
    <mergeCell ref="L51:L52"/>
    <mergeCell ref="H52:I52"/>
    <mergeCell ref="H53:J53"/>
    <mergeCell ref="E58:F58"/>
    <mergeCell ref="B57:F57"/>
    <mergeCell ref="B51:E51"/>
    <mergeCell ref="B71:E71"/>
    <mergeCell ref="F71:F72"/>
    <mergeCell ref="B72:C72"/>
    <mergeCell ref="F63:F64"/>
    <mergeCell ref="B65:E65"/>
    <mergeCell ref="F65:F67"/>
    <mergeCell ref="B66:D66"/>
    <mergeCell ref="B67:D67"/>
    <mergeCell ref="B73:D73"/>
    <mergeCell ref="B15:M15"/>
    <mergeCell ref="D16:D18"/>
    <mergeCell ref="B14:H14"/>
    <mergeCell ref="B30:G30"/>
    <mergeCell ref="B31:H31"/>
    <mergeCell ref="B34:G34"/>
    <mergeCell ref="B68:D68"/>
    <mergeCell ref="B69:E69"/>
    <mergeCell ref="B63:E63"/>
    <mergeCell ref="B58:D59"/>
    <mergeCell ref="B60:E60"/>
    <mergeCell ref="F60:F62"/>
    <mergeCell ref="B61:B62"/>
    <mergeCell ref="F69:F70"/>
    <mergeCell ref="B70:C70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8D2A1-7D02-44CD-A897-9E866768C1D5}">
  <sheetPr>
    <tabColor theme="9"/>
  </sheetPr>
  <dimension ref="A1:U77"/>
  <sheetViews>
    <sheetView zoomScale="80" zoomScaleNormal="80" workbookViewId="0">
      <selection activeCell="B29" sqref="B29"/>
    </sheetView>
  </sheetViews>
  <sheetFormatPr defaultRowHeight="15"/>
  <cols>
    <col min="1" max="1" width="8.85546875" style="27" customWidth="1"/>
    <col min="2" max="2" width="75.5703125" style="27" customWidth="1"/>
    <col min="3" max="6" width="17.42578125" style="27" customWidth="1"/>
    <col min="7" max="7" width="17" style="27" bestFit="1" customWidth="1"/>
    <col min="8" max="8" width="15" style="27" customWidth="1"/>
    <col min="9" max="9" width="21.85546875" style="27" customWidth="1"/>
    <col min="10" max="10" width="35.28515625" style="27" customWidth="1"/>
    <col min="11" max="11" width="24" style="27" customWidth="1"/>
    <col min="12" max="12" width="20.28515625" style="27" customWidth="1"/>
    <col min="13" max="13" width="18.5703125" style="27" customWidth="1"/>
    <col min="14" max="14" width="9.140625" style="27"/>
    <col min="15" max="15" width="24.5703125" style="27" customWidth="1"/>
    <col min="16" max="16" width="22.140625" style="27" customWidth="1"/>
    <col min="17" max="17" width="23" style="27" customWidth="1"/>
    <col min="18" max="18" width="16.5703125" style="27" customWidth="1"/>
    <col min="19" max="19" width="16" style="27" bestFit="1" customWidth="1"/>
    <col min="20" max="16384" width="9.140625" style="27"/>
  </cols>
  <sheetData>
    <row r="1" spans="1:13" ht="30.75" customHeight="1">
      <c r="A1" s="384" t="s">
        <v>396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</row>
    <row r="2" spans="1:13" ht="28.5" customHeight="1" thickBot="1">
      <c r="A2" s="409" t="s">
        <v>655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</row>
    <row r="3" spans="1:13">
      <c r="A3" s="386" t="s">
        <v>397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8"/>
    </row>
    <row r="4" spans="1:13" s="32" customFormat="1" ht="60">
      <c r="A4" s="155" t="s">
        <v>378</v>
      </c>
      <c r="B4" s="68" t="s">
        <v>306</v>
      </c>
      <c r="C4" s="68" t="s">
        <v>307</v>
      </c>
      <c r="D4" s="68" t="s">
        <v>377</v>
      </c>
      <c r="E4" s="68" t="s">
        <v>308</v>
      </c>
      <c r="F4" s="68" t="s">
        <v>309</v>
      </c>
      <c r="G4" s="68" t="s">
        <v>759</v>
      </c>
      <c r="H4" s="68" t="s">
        <v>310</v>
      </c>
      <c r="I4" s="68" t="s">
        <v>311</v>
      </c>
      <c r="J4" s="68" t="s">
        <v>312</v>
      </c>
      <c r="K4" s="68" t="s">
        <v>319</v>
      </c>
      <c r="L4" s="68" t="s">
        <v>320</v>
      </c>
      <c r="M4" s="72" t="s">
        <v>321</v>
      </c>
    </row>
    <row r="5" spans="1:13" ht="17.25">
      <c r="A5" s="389" t="s">
        <v>489</v>
      </c>
      <c r="B5" s="340" t="s">
        <v>317</v>
      </c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1"/>
    </row>
    <row r="6" spans="1:13" s="33" customFormat="1" ht="17.25">
      <c r="A6" s="389"/>
      <c r="B6" s="69" t="s">
        <v>30</v>
      </c>
      <c r="C6" s="228" t="s">
        <v>35</v>
      </c>
      <c r="D6" s="342">
        <v>2</v>
      </c>
      <c r="E6" s="156">
        <v>1</v>
      </c>
      <c r="F6" s="50">
        <v>12</v>
      </c>
      <c r="G6" s="50">
        <f>$D$6*E6*F6*176</f>
        <v>4224</v>
      </c>
      <c r="H6" s="36">
        <f>VLOOKUP(C6,'Tabela DNIT-Consult-MO'!$A:$D,4,FALSE)</f>
        <v>10864.39</v>
      </c>
      <c r="I6" s="36">
        <f>F6*H6*$D$6*E6</f>
        <v>260745.36</v>
      </c>
      <c r="J6" s="70">
        <f>VLOOKUP(C6,'Tabela DNIT-Consult-MO'!$A:$F,5,FALSE)</f>
        <v>0.80049999999999999</v>
      </c>
      <c r="K6" s="36">
        <f>H6*J6</f>
        <v>8696.944195</v>
      </c>
      <c r="L6" s="36">
        <f>I6*J6</f>
        <v>208726.66067999997</v>
      </c>
      <c r="M6" s="37">
        <f>I6+L6</f>
        <v>469472.02067999996</v>
      </c>
    </row>
    <row r="7" spans="1:13">
      <c r="A7" s="389"/>
      <c r="B7" s="69" t="s">
        <v>28</v>
      </c>
      <c r="C7" s="156" t="s">
        <v>29</v>
      </c>
      <c r="D7" s="342"/>
      <c r="E7" s="156">
        <v>1</v>
      </c>
      <c r="F7" s="50">
        <v>12</v>
      </c>
      <c r="G7" s="50">
        <f>$D$6*E7*F7*176</f>
        <v>4224</v>
      </c>
      <c r="H7" s="36">
        <f>VLOOKUP(C7,'Tabela DNIT-Consult-MO'!$A:$D,4,FALSE)</f>
        <v>2974.3</v>
      </c>
      <c r="I7" s="36">
        <f>F7*H7*$D$6*E7</f>
        <v>71383.200000000012</v>
      </c>
      <c r="J7" s="70">
        <f>VLOOKUP(C7,'Tabela DNIT-Consult-MO'!$A:$F,5,FALSE)</f>
        <v>0.80400000000000005</v>
      </c>
      <c r="K7" s="36">
        <f>H7*J7</f>
        <v>2391.3372000000004</v>
      </c>
      <c r="L7" s="36">
        <f>I7*J7</f>
        <v>57392.092800000013</v>
      </c>
      <c r="M7" s="37">
        <f>I7+L7</f>
        <v>128775.29280000002</v>
      </c>
    </row>
    <row r="8" spans="1:13">
      <c r="A8" s="389"/>
      <c r="B8" s="343" t="s">
        <v>4</v>
      </c>
      <c r="C8" s="343"/>
      <c r="D8" s="343"/>
      <c r="E8" s="343"/>
      <c r="F8" s="343"/>
      <c r="G8" s="343"/>
      <c r="H8" s="343"/>
      <c r="I8" s="51">
        <f>SUM(I5:I7)</f>
        <v>332128.56</v>
      </c>
      <c r="J8" s="44"/>
      <c r="K8" s="44"/>
      <c r="L8" s="44"/>
      <c r="M8" s="41">
        <f>SUM(M6:M7)</f>
        <v>598247.31348000001</v>
      </c>
    </row>
    <row r="9" spans="1:13" ht="17.25">
      <c r="A9" s="389"/>
      <c r="B9" s="340" t="s">
        <v>431</v>
      </c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1"/>
    </row>
    <row r="10" spans="1:13">
      <c r="A10" s="389"/>
      <c r="B10" s="69" t="s">
        <v>30</v>
      </c>
      <c r="C10" s="228" t="s">
        <v>35</v>
      </c>
      <c r="D10" s="342">
        <v>4</v>
      </c>
      <c r="E10" s="156">
        <v>1</v>
      </c>
      <c r="F10" s="50">
        <v>12</v>
      </c>
      <c r="G10" s="50">
        <f>$D$10*E10*F10*176</f>
        <v>8448</v>
      </c>
      <c r="H10" s="36">
        <f>VLOOKUP(C10,'Tabela DNIT-Consult-MO'!$A:$D,4,FALSE)</f>
        <v>10864.39</v>
      </c>
      <c r="I10" s="36">
        <f>F10*H10*$D$10*E10</f>
        <v>521490.72</v>
      </c>
      <c r="J10" s="70">
        <f>VLOOKUP(C10,'Tabela DNIT-Consult-MO'!$A:$F,5,FALSE)</f>
        <v>0.80049999999999999</v>
      </c>
      <c r="K10" s="36">
        <f>H10*J10</f>
        <v>8696.944195</v>
      </c>
      <c r="L10" s="36">
        <f>I10*J10</f>
        <v>417453.32135999994</v>
      </c>
      <c r="M10" s="37">
        <f>I10+L10</f>
        <v>938944.04135999992</v>
      </c>
    </row>
    <row r="11" spans="1:13">
      <c r="A11" s="389"/>
      <c r="B11" s="69" t="s">
        <v>28</v>
      </c>
      <c r="C11" s="156" t="s">
        <v>29</v>
      </c>
      <c r="D11" s="342"/>
      <c r="E11" s="156">
        <v>1</v>
      </c>
      <c r="F11" s="50">
        <v>12</v>
      </c>
      <c r="G11" s="50">
        <f>$D$10*E11*F11*176</f>
        <v>8448</v>
      </c>
      <c r="H11" s="36">
        <f>VLOOKUP(C11,'Tabela DNIT-Consult-MO'!$A:$D,4,FALSE)</f>
        <v>2974.3</v>
      </c>
      <c r="I11" s="36">
        <f>F11*H11*$D$10*E11</f>
        <v>142766.40000000002</v>
      </c>
      <c r="J11" s="70">
        <f>VLOOKUP(C11,'Tabela DNIT-Consult-MO'!$A:$F,5,FALSE)</f>
        <v>0.80400000000000005</v>
      </c>
      <c r="K11" s="36">
        <f>H11*J11</f>
        <v>2391.3372000000004</v>
      </c>
      <c r="L11" s="36">
        <f>I11*J11</f>
        <v>114784.18560000003</v>
      </c>
      <c r="M11" s="37">
        <f>I11+L11</f>
        <v>257550.58560000005</v>
      </c>
    </row>
    <row r="12" spans="1:13">
      <c r="A12" s="389"/>
      <c r="B12" s="343" t="s">
        <v>4</v>
      </c>
      <c r="C12" s="343"/>
      <c r="D12" s="343"/>
      <c r="E12" s="343"/>
      <c r="F12" s="343"/>
      <c r="G12" s="343"/>
      <c r="H12" s="343"/>
      <c r="I12" s="51">
        <f>SUM(I10:I11)</f>
        <v>664257.12</v>
      </c>
      <c r="J12" s="44"/>
      <c r="K12" s="44"/>
      <c r="L12" s="44"/>
      <c r="M12" s="41">
        <f>SUM(M10:M11)</f>
        <v>1196494.62696</v>
      </c>
    </row>
    <row r="13" spans="1:13" ht="17.25">
      <c r="A13" s="389"/>
      <c r="B13" s="340" t="s">
        <v>639</v>
      </c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1"/>
    </row>
    <row r="14" spans="1:13">
      <c r="A14" s="389"/>
      <c r="B14" s="69" t="s">
        <v>30</v>
      </c>
      <c r="C14" s="228" t="s">
        <v>35</v>
      </c>
      <c r="D14" s="342">
        <v>3</v>
      </c>
      <c r="E14" s="156">
        <v>1</v>
      </c>
      <c r="F14" s="50">
        <v>12</v>
      </c>
      <c r="G14" s="50">
        <f>$D$14*E14*F14*176</f>
        <v>6336</v>
      </c>
      <c r="H14" s="36">
        <f>VLOOKUP(C14,'Tabela DNIT-Consult-MO'!$A:$D,4,FALSE)</f>
        <v>10864.39</v>
      </c>
      <c r="I14" s="36">
        <f>F14*H14*$D$14*E14</f>
        <v>391118.04</v>
      </c>
      <c r="J14" s="70">
        <f>VLOOKUP(C14,'Tabela DNIT-Consult-MO'!$A:$F,5,FALSE)</f>
        <v>0.80049999999999999</v>
      </c>
      <c r="K14" s="36">
        <f>H14*J14</f>
        <v>8696.944195</v>
      </c>
      <c r="L14" s="36">
        <f>I14*J14</f>
        <v>313089.99101999996</v>
      </c>
      <c r="M14" s="37">
        <f>I14+L14</f>
        <v>704208.03101999988</v>
      </c>
    </row>
    <row r="15" spans="1:13">
      <c r="A15" s="389"/>
      <c r="B15" s="69" t="s">
        <v>28</v>
      </c>
      <c r="C15" s="156" t="s">
        <v>29</v>
      </c>
      <c r="D15" s="342"/>
      <c r="E15" s="156">
        <v>1</v>
      </c>
      <c r="F15" s="50">
        <v>12</v>
      </c>
      <c r="G15" s="50">
        <f>$D$14*E15*F15*176</f>
        <v>6336</v>
      </c>
      <c r="H15" s="36">
        <f>VLOOKUP(C15,'Tabela DNIT-Consult-MO'!$A:$D,4,FALSE)</f>
        <v>2974.3</v>
      </c>
      <c r="I15" s="36">
        <f>F15*H15*$D$14*E15</f>
        <v>107074.80000000002</v>
      </c>
      <c r="J15" s="70">
        <f>VLOOKUP(C15,'Tabela DNIT-Consult-MO'!$A:$F,5,FALSE)</f>
        <v>0.80400000000000005</v>
      </c>
      <c r="K15" s="36">
        <f>H15*J15</f>
        <v>2391.3372000000004</v>
      </c>
      <c r="L15" s="36">
        <f>I15*J15</f>
        <v>86088.13920000002</v>
      </c>
      <c r="M15" s="37">
        <f>I15+L15</f>
        <v>193162.93920000002</v>
      </c>
    </row>
    <row r="16" spans="1:13" ht="15.75" thickBot="1">
      <c r="A16" s="390"/>
      <c r="B16" s="346" t="s">
        <v>4</v>
      </c>
      <c r="C16" s="346"/>
      <c r="D16" s="346"/>
      <c r="E16" s="346"/>
      <c r="F16" s="346"/>
      <c r="G16" s="346"/>
      <c r="H16" s="346"/>
      <c r="I16" s="73">
        <f>SUM(I14:I15)</f>
        <v>498192.83999999997</v>
      </c>
      <c r="J16" s="74"/>
      <c r="K16" s="74"/>
      <c r="L16" s="74"/>
      <c r="M16" s="42">
        <f>SUM(M14:M15)</f>
        <v>897370.9702199999</v>
      </c>
    </row>
    <row r="17" spans="1:21" ht="15.75" thickBot="1">
      <c r="A17" s="38"/>
      <c r="B17" s="39"/>
      <c r="C17" s="39"/>
      <c r="D17" s="39"/>
      <c r="E17" s="39"/>
      <c r="F17" s="39"/>
      <c r="G17" s="39"/>
      <c r="H17" s="39"/>
      <c r="I17" s="40"/>
      <c r="J17" s="26"/>
      <c r="K17" s="26"/>
      <c r="L17" s="26"/>
      <c r="M17" s="40"/>
    </row>
    <row r="18" spans="1:21" ht="15.75" thickBot="1">
      <c r="A18" s="406" t="s">
        <v>571</v>
      </c>
      <c r="B18" s="407"/>
      <c r="C18" s="407"/>
      <c r="D18" s="407"/>
      <c r="E18" s="407"/>
      <c r="F18" s="407"/>
      <c r="G18" s="407"/>
      <c r="H18" s="407"/>
      <c r="I18" s="408"/>
    </row>
    <row r="19" spans="1:21" ht="45">
      <c r="A19" s="265" t="s">
        <v>378</v>
      </c>
      <c r="B19" s="266" t="s">
        <v>403</v>
      </c>
      <c r="C19" s="267" t="s">
        <v>404</v>
      </c>
      <c r="D19" s="267" t="s">
        <v>407</v>
      </c>
      <c r="E19" s="267" t="s">
        <v>405</v>
      </c>
      <c r="F19" s="268" t="s">
        <v>759</v>
      </c>
      <c r="G19" s="267" t="s">
        <v>408</v>
      </c>
      <c r="H19" s="267" t="s">
        <v>406</v>
      </c>
      <c r="I19" s="269" t="s">
        <v>416</v>
      </c>
    </row>
    <row r="20" spans="1:21">
      <c r="A20" s="389" t="s">
        <v>490</v>
      </c>
      <c r="B20" s="344" t="s">
        <v>589</v>
      </c>
      <c r="C20" s="344" t="s">
        <v>32</v>
      </c>
      <c r="D20" s="344"/>
      <c r="E20" s="344"/>
      <c r="F20" s="344"/>
      <c r="G20" s="344"/>
      <c r="H20" s="344"/>
      <c r="I20" s="345"/>
    </row>
    <row r="21" spans="1:21">
      <c r="A21" s="389"/>
      <c r="B21" s="44" t="s">
        <v>247</v>
      </c>
      <c r="C21" s="156" t="s">
        <v>402</v>
      </c>
      <c r="D21" s="49">
        <f>D6</f>
        <v>2</v>
      </c>
      <c r="E21" s="50">
        <v>12</v>
      </c>
      <c r="F21" s="50">
        <f>D21*E21*176</f>
        <v>4224</v>
      </c>
      <c r="G21" s="49">
        <f>D21*E21</f>
        <v>24</v>
      </c>
      <c r="H21" s="36">
        <f>(('Tabela DNIT-Consult-BDI'!$H$5*66)+('Tabela DNIT-Consult-BDI'!$I$5*116.49))</f>
        <v>3213.6885000000002</v>
      </c>
      <c r="I21" s="37">
        <f>H21*G21</f>
        <v>77128.524000000005</v>
      </c>
    </row>
    <row r="22" spans="1:21">
      <c r="A22" s="389"/>
      <c r="B22" s="44" t="s">
        <v>401</v>
      </c>
      <c r="C22" s="156" t="s">
        <v>33</v>
      </c>
      <c r="D22" s="50">
        <f>(E6+E7)*D6*8</f>
        <v>32</v>
      </c>
      <c r="E22" s="50">
        <v>12</v>
      </c>
      <c r="F22" s="50">
        <f>D22*E22*176</f>
        <v>67584</v>
      </c>
      <c r="G22" s="49">
        <f>D22*E22</f>
        <v>384</v>
      </c>
      <c r="H22" s="52">
        <f>Diárias!$E$5</f>
        <v>364.43999999999994</v>
      </c>
      <c r="I22" s="37">
        <f>H22*G22</f>
        <v>139944.95999999996</v>
      </c>
    </row>
    <row r="23" spans="1:21">
      <c r="A23" s="389"/>
      <c r="B23" s="343" t="s">
        <v>4</v>
      </c>
      <c r="C23" s="343"/>
      <c r="D23" s="343"/>
      <c r="E23" s="343"/>
      <c r="F23" s="343"/>
      <c r="G23" s="343"/>
      <c r="H23" s="343"/>
      <c r="I23" s="41">
        <f>SUM(I21:I22)</f>
        <v>217073.48399999997</v>
      </c>
    </row>
    <row r="24" spans="1:21">
      <c r="A24" s="389"/>
      <c r="B24" s="344" t="s">
        <v>590</v>
      </c>
      <c r="C24" s="344"/>
      <c r="D24" s="344"/>
      <c r="E24" s="344"/>
      <c r="F24" s="344"/>
      <c r="G24" s="344"/>
      <c r="H24" s="344"/>
      <c r="I24" s="345"/>
    </row>
    <row r="25" spans="1:21">
      <c r="A25" s="389"/>
      <c r="B25" s="44" t="s">
        <v>247</v>
      </c>
      <c r="C25" s="156" t="s">
        <v>402</v>
      </c>
      <c r="D25" s="49">
        <f>D10</f>
        <v>4</v>
      </c>
      <c r="E25" s="50">
        <v>12</v>
      </c>
      <c r="F25" s="50">
        <f>D25*E25*176</f>
        <v>8448</v>
      </c>
      <c r="G25" s="49">
        <f>D25*E25</f>
        <v>48</v>
      </c>
      <c r="H25" s="36">
        <f>(('Tabela DNIT-Consult-BDI'!$H$5*66)+('Tabela DNIT-Consult-BDI'!$I$5*116.49))</f>
        <v>3213.6885000000002</v>
      </c>
      <c r="I25" s="37">
        <f>H25*G25</f>
        <v>154257.04800000001</v>
      </c>
    </row>
    <row r="26" spans="1:21">
      <c r="A26" s="389"/>
      <c r="B26" s="44" t="s">
        <v>401</v>
      </c>
      <c r="C26" s="156" t="s">
        <v>33</v>
      </c>
      <c r="D26" s="50">
        <f>(E10+E11)*D10*8</f>
        <v>64</v>
      </c>
      <c r="E26" s="50">
        <v>12</v>
      </c>
      <c r="F26" s="50">
        <f>D26*E26*176</f>
        <v>135168</v>
      </c>
      <c r="G26" s="49">
        <f>D26*E26</f>
        <v>768</v>
      </c>
      <c r="H26" s="52">
        <f>Diárias!$E$5</f>
        <v>364.43999999999994</v>
      </c>
      <c r="I26" s="37">
        <f>H26*G26</f>
        <v>279889.91999999993</v>
      </c>
    </row>
    <row r="27" spans="1:21">
      <c r="A27" s="389"/>
      <c r="B27" s="343" t="s">
        <v>4</v>
      </c>
      <c r="C27" s="343"/>
      <c r="D27" s="343"/>
      <c r="E27" s="343"/>
      <c r="F27" s="343"/>
      <c r="G27" s="343"/>
      <c r="H27" s="343"/>
      <c r="I27" s="41">
        <f>SUM(I25:I26)</f>
        <v>434146.96799999994</v>
      </c>
    </row>
    <row r="28" spans="1:21">
      <c r="A28" s="389"/>
      <c r="B28" s="344" t="s">
        <v>642</v>
      </c>
      <c r="C28" s="344"/>
      <c r="D28" s="344"/>
      <c r="E28" s="344"/>
      <c r="F28" s="344"/>
      <c r="G28" s="344"/>
      <c r="H28" s="344"/>
      <c r="I28" s="345"/>
    </row>
    <row r="29" spans="1:21">
      <c r="A29" s="389"/>
      <c r="B29" s="44" t="s">
        <v>247</v>
      </c>
      <c r="C29" s="156" t="s">
        <v>402</v>
      </c>
      <c r="D29" s="49">
        <f>D14</f>
        <v>3</v>
      </c>
      <c r="E29" s="50">
        <v>12</v>
      </c>
      <c r="F29" s="50">
        <f>D29*E29*176</f>
        <v>6336</v>
      </c>
      <c r="G29" s="49">
        <f>D29*E29</f>
        <v>36</v>
      </c>
      <c r="H29" s="36">
        <f>(('Tabela DNIT-Consult-BDI'!$H$5*66)+('Tabela DNIT-Consult-BDI'!$I$5*116.49))</f>
        <v>3213.6885000000002</v>
      </c>
      <c r="I29" s="37">
        <f>H29*G29</f>
        <v>115692.78600000001</v>
      </c>
    </row>
    <row r="30" spans="1:21">
      <c r="A30" s="389"/>
      <c r="B30" s="44" t="s">
        <v>401</v>
      </c>
      <c r="C30" s="156" t="s">
        <v>33</v>
      </c>
      <c r="D30" s="50">
        <f>(E14+E15)*D14*8</f>
        <v>48</v>
      </c>
      <c r="E30" s="50">
        <v>12</v>
      </c>
      <c r="F30" s="50">
        <f>D30*E30*176</f>
        <v>101376</v>
      </c>
      <c r="G30" s="49">
        <f>D30*E30</f>
        <v>576</v>
      </c>
      <c r="H30" s="52">
        <f>Diárias!$E$5</f>
        <v>364.43999999999994</v>
      </c>
      <c r="I30" s="37">
        <f>H30*G30</f>
        <v>209917.43999999997</v>
      </c>
    </row>
    <row r="31" spans="1:21" ht="15.75" thickBot="1">
      <c r="A31" s="390"/>
      <c r="B31" s="346" t="s">
        <v>4</v>
      </c>
      <c r="C31" s="346"/>
      <c r="D31" s="346"/>
      <c r="E31" s="346"/>
      <c r="F31" s="346"/>
      <c r="G31" s="346"/>
      <c r="H31" s="346"/>
      <c r="I31" s="42">
        <f>SUM(I29:I30)</f>
        <v>325610.22599999997</v>
      </c>
    </row>
    <row r="32" spans="1:21" ht="45">
      <c r="A32" s="26"/>
      <c r="B32" s="270" t="s">
        <v>760</v>
      </c>
      <c r="C32" s="26"/>
      <c r="D32" s="26"/>
      <c r="E32" s="26"/>
      <c r="F32" s="26"/>
      <c r="G32" s="26"/>
      <c r="H32" s="26"/>
      <c r="I32" s="26"/>
      <c r="L32" s="29"/>
      <c r="M32" s="30"/>
      <c r="N32" s="30"/>
      <c r="O32" s="30"/>
      <c r="P32" s="30"/>
      <c r="Q32" s="30"/>
      <c r="R32" s="30"/>
      <c r="S32" s="30"/>
      <c r="T32" s="30"/>
      <c r="U32" s="30"/>
    </row>
    <row r="33" spans="1:21" ht="15.75">
      <c r="A33" s="26"/>
      <c r="B33" s="270"/>
      <c r="C33" s="26"/>
      <c r="D33" s="26"/>
      <c r="E33" s="26"/>
      <c r="F33" s="26"/>
      <c r="G33" s="26"/>
      <c r="H33" s="26"/>
      <c r="I33" s="26"/>
      <c r="L33" s="29"/>
      <c r="M33" s="30"/>
      <c r="N33" s="30"/>
      <c r="O33" s="30"/>
      <c r="P33" s="30"/>
      <c r="Q33" s="30"/>
      <c r="R33" s="30"/>
      <c r="S33" s="30"/>
      <c r="T33" s="30"/>
      <c r="U33" s="30"/>
    </row>
    <row r="34" spans="1:21" ht="45">
      <c r="A34" s="26"/>
      <c r="B34" s="270" t="s">
        <v>761</v>
      </c>
      <c r="C34" s="26"/>
      <c r="D34" s="26"/>
      <c r="E34" s="26"/>
      <c r="F34" s="26"/>
      <c r="G34" s="26"/>
      <c r="H34" s="26"/>
      <c r="I34" s="26"/>
    </row>
    <row r="35" spans="1:21" ht="16.5" thickBot="1">
      <c r="K35" s="29"/>
      <c r="L35" s="30"/>
      <c r="M35" s="30"/>
      <c r="N35" s="30"/>
      <c r="O35" s="30"/>
      <c r="P35" s="30"/>
      <c r="Q35" s="30"/>
      <c r="R35" s="30"/>
      <c r="S35" s="30"/>
      <c r="T35" s="30"/>
    </row>
    <row r="36" spans="1:21" ht="21.75" thickBot="1">
      <c r="B36" s="396" t="s">
        <v>448</v>
      </c>
      <c r="C36" s="397"/>
      <c r="D36" s="397"/>
      <c r="E36" s="397"/>
      <c r="F36" s="398"/>
      <c r="H36" s="396" t="s">
        <v>441</v>
      </c>
      <c r="I36" s="397"/>
      <c r="J36" s="397"/>
      <c r="K36" s="397"/>
      <c r="L36" s="398"/>
    </row>
    <row r="37" spans="1:21">
      <c r="B37" s="355" t="s">
        <v>1</v>
      </c>
      <c r="C37" s="356"/>
      <c r="D37" s="356"/>
      <c r="E37" s="356" t="s">
        <v>2</v>
      </c>
      <c r="F37" s="395"/>
      <c r="H37" s="355" t="s">
        <v>1</v>
      </c>
      <c r="I37" s="356"/>
      <c r="J37" s="356"/>
      <c r="K37" s="356" t="s">
        <v>2</v>
      </c>
      <c r="L37" s="395"/>
    </row>
    <row r="38" spans="1:21" ht="15.75" thickBot="1">
      <c r="B38" s="357"/>
      <c r="C38" s="358"/>
      <c r="D38" s="358"/>
      <c r="E38" s="53" t="s">
        <v>3</v>
      </c>
      <c r="F38" s="54" t="s">
        <v>4</v>
      </c>
      <c r="H38" s="357"/>
      <c r="I38" s="358"/>
      <c r="J38" s="358"/>
      <c r="K38" s="53" t="s">
        <v>3</v>
      </c>
      <c r="L38" s="54" t="s">
        <v>4</v>
      </c>
    </row>
    <row r="39" spans="1:21">
      <c r="B39" s="359" t="s">
        <v>398</v>
      </c>
      <c r="C39" s="360"/>
      <c r="D39" s="360"/>
      <c r="E39" s="360"/>
      <c r="F39" s="361">
        <f>SUM(E40:E41)</f>
        <v>598247.31348000001</v>
      </c>
      <c r="H39" s="359" t="s">
        <v>398</v>
      </c>
      <c r="I39" s="360"/>
      <c r="J39" s="360"/>
      <c r="K39" s="360"/>
      <c r="L39" s="361">
        <f>SUM(K40:K41)</f>
        <v>1196494.62696</v>
      </c>
    </row>
    <row r="40" spans="1:21">
      <c r="B40" s="363" t="s">
        <v>5</v>
      </c>
      <c r="C40" s="378" t="s">
        <v>6</v>
      </c>
      <c r="D40" s="378"/>
      <c r="E40" s="83">
        <f>M6</f>
        <v>469472.02067999996</v>
      </c>
      <c r="F40" s="362"/>
      <c r="H40" s="363" t="s">
        <v>5</v>
      </c>
      <c r="I40" s="378" t="s">
        <v>6</v>
      </c>
      <c r="J40" s="378"/>
      <c r="K40" s="83">
        <f>M10</f>
        <v>938944.04135999992</v>
      </c>
      <c r="L40" s="362"/>
    </row>
    <row r="41" spans="1:21" ht="15.75" thickBot="1">
      <c r="B41" s="364"/>
      <c r="C41" s="378" t="s">
        <v>7</v>
      </c>
      <c r="D41" s="378"/>
      <c r="E41" s="83">
        <f>M7</f>
        <v>128775.29280000002</v>
      </c>
      <c r="F41" s="399"/>
      <c r="H41" s="364"/>
      <c r="I41" s="378" t="s">
        <v>7</v>
      </c>
      <c r="J41" s="378"/>
      <c r="K41" s="83">
        <f>M11</f>
        <v>257550.58560000005</v>
      </c>
      <c r="L41" s="399"/>
    </row>
    <row r="42" spans="1:21">
      <c r="B42" s="352" t="s">
        <v>414</v>
      </c>
      <c r="C42" s="353"/>
      <c r="D42" s="353"/>
      <c r="E42" s="354"/>
      <c r="F42" s="371">
        <f>SUM(E43)</f>
        <v>73225.471169952012</v>
      </c>
      <c r="H42" s="352" t="s">
        <v>414</v>
      </c>
      <c r="I42" s="353"/>
      <c r="J42" s="353"/>
      <c r="K42" s="354"/>
      <c r="L42" s="371">
        <f>SUM(K43)</f>
        <v>146450.94233990402</v>
      </c>
      <c r="N42" s="30"/>
      <c r="T42" s="30"/>
    </row>
    <row r="43" spans="1:21" ht="15.75" thickBot="1">
      <c r="B43" s="55" t="s">
        <v>8</v>
      </c>
      <c r="C43" s="77">
        <f>'Tabela DNIT-Consult-BDI'!$I$27/100</f>
        <v>0.12240000000000001</v>
      </c>
      <c r="D43" s="56" t="s">
        <v>9</v>
      </c>
      <c r="E43" s="83">
        <f>F39*C43</f>
        <v>73225.471169952012</v>
      </c>
      <c r="F43" s="368"/>
      <c r="H43" s="55" t="s">
        <v>8</v>
      </c>
      <c r="I43" s="77">
        <f>'Tabela DNIT-Consult-BDI'!$I$27/100</f>
        <v>0.12240000000000001</v>
      </c>
      <c r="J43" s="56" t="s">
        <v>9</v>
      </c>
      <c r="K43" s="83">
        <f>L39*I43</f>
        <v>146450.94233990402</v>
      </c>
      <c r="L43" s="368"/>
    </row>
    <row r="44" spans="1:21">
      <c r="B44" s="352" t="s">
        <v>591</v>
      </c>
      <c r="C44" s="353"/>
      <c r="D44" s="353"/>
      <c r="E44" s="354"/>
      <c r="F44" s="371">
        <f>SUM(E45:E46)</f>
        <v>217073.48399999997</v>
      </c>
      <c r="H44" s="352" t="s">
        <v>591</v>
      </c>
      <c r="I44" s="353"/>
      <c r="J44" s="353"/>
      <c r="K44" s="354"/>
      <c r="L44" s="371">
        <f>SUM(K45:K46)</f>
        <v>325610.22599999997</v>
      </c>
    </row>
    <row r="45" spans="1:21">
      <c r="B45" s="373" t="s">
        <v>640</v>
      </c>
      <c r="C45" s="374"/>
      <c r="D45" s="374"/>
      <c r="E45" s="83">
        <f>I21</f>
        <v>77128.524000000005</v>
      </c>
      <c r="F45" s="372"/>
      <c r="G45" s="28"/>
      <c r="H45" s="373" t="s">
        <v>580</v>
      </c>
      <c r="I45" s="374"/>
      <c r="J45" s="374"/>
      <c r="K45" s="83">
        <f>I29</f>
        <v>115692.78600000001</v>
      </c>
      <c r="L45" s="372"/>
    </row>
    <row r="46" spans="1:21" ht="15.75" thickBot="1">
      <c r="B46" s="375" t="s">
        <v>487</v>
      </c>
      <c r="C46" s="376"/>
      <c r="D46" s="377"/>
      <c r="E46" s="83">
        <f>I22</f>
        <v>139944.95999999996</v>
      </c>
      <c r="F46" s="372"/>
      <c r="H46" s="375" t="s">
        <v>579</v>
      </c>
      <c r="I46" s="376"/>
      <c r="J46" s="377"/>
      <c r="K46" s="83">
        <f>I30</f>
        <v>209917.43999999997</v>
      </c>
      <c r="L46" s="372"/>
    </row>
    <row r="47" spans="1:21">
      <c r="B47" s="347" t="s">
        <v>10</v>
      </c>
      <c r="C47" s="348"/>
      <c r="D47" s="349"/>
      <c r="E47" s="57" t="s">
        <v>417</v>
      </c>
      <c r="F47" s="75">
        <f>F44+F42+F39</f>
        <v>888546.26864995202</v>
      </c>
      <c r="G47" s="28"/>
      <c r="H47" s="347" t="s">
        <v>10</v>
      </c>
      <c r="I47" s="348"/>
      <c r="J47" s="349"/>
      <c r="K47" s="57" t="s">
        <v>417</v>
      </c>
      <c r="L47" s="75">
        <f>L44+L42+L39</f>
        <v>1668555.795299904</v>
      </c>
    </row>
    <row r="48" spans="1:21">
      <c r="B48" s="350" t="s">
        <v>11</v>
      </c>
      <c r="C48" s="351"/>
      <c r="D48" s="351"/>
      <c r="E48" s="400"/>
      <c r="F48" s="362">
        <f>D49*F47</f>
        <v>106625.55223799424</v>
      </c>
      <c r="G48" s="28"/>
      <c r="H48" s="350" t="s">
        <v>11</v>
      </c>
      <c r="I48" s="351"/>
      <c r="J48" s="351"/>
      <c r="K48" s="400"/>
      <c r="L48" s="362">
        <f>J49*L47</f>
        <v>200226.69543598845</v>
      </c>
    </row>
    <row r="49" spans="2:12">
      <c r="B49" s="365" t="s">
        <v>8</v>
      </c>
      <c r="C49" s="366"/>
      <c r="D49" s="77">
        <f>'Tabela DNIT-Consult-BDI'!$I$30/100</f>
        <v>0.12</v>
      </c>
      <c r="E49" s="49" t="s">
        <v>12</v>
      </c>
      <c r="F49" s="362"/>
      <c r="H49" s="365" t="s">
        <v>8</v>
      </c>
      <c r="I49" s="366"/>
      <c r="J49" s="77">
        <f>'Tabela DNIT-Consult-BDI'!$I$30/100</f>
        <v>0.12</v>
      </c>
      <c r="K49" s="49" t="s">
        <v>12</v>
      </c>
      <c r="L49" s="362"/>
    </row>
    <row r="50" spans="2:12">
      <c r="B50" s="350" t="s">
        <v>13</v>
      </c>
      <c r="C50" s="351"/>
      <c r="D50" s="351"/>
      <c r="E50" s="400"/>
      <c r="F50" s="367">
        <f>D51*(F47+F48)</f>
        <v>205403.46383127212</v>
      </c>
      <c r="H50" s="350" t="s">
        <v>13</v>
      </c>
      <c r="I50" s="351"/>
      <c r="J50" s="351"/>
      <c r="K50" s="400"/>
      <c r="L50" s="367">
        <f>J51*(L47+L48)</f>
        <v>385716.70608788822</v>
      </c>
    </row>
    <row r="51" spans="2:12" ht="15.75" thickBot="1">
      <c r="B51" s="401" t="s">
        <v>8</v>
      </c>
      <c r="C51" s="402"/>
      <c r="D51" s="137">
        <f>'Tabela DNIT-Consult-BDI'!$I$35/100</f>
        <v>0.2064</v>
      </c>
      <c r="E51" s="138" t="s">
        <v>14</v>
      </c>
      <c r="F51" s="372"/>
      <c r="H51" s="401" t="s">
        <v>8</v>
      </c>
      <c r="I51" s="402"/>
      <c r="J51" s="137">
        <f>'Tabela DNIT-Consult-BDI'!$I$35/100</f>
        <v>0.2064</v>
      </c>
      <c r="K51" s="138" t="s">
        <v>14</v>
      </c>
      <c r="L51" s="372"/>
    </row>
    <row r="52" spans="2:12">
      <c r="B52" s="347" t="s">
        <v>588</v>
      </c>
      <c r="C52" s="348"/>
      <c r="D52" s="348"/>
      <c r="E52" s="349"/>
      <c r="F52" s="371">
        <f>E53</f>
        <v>444809.52550774004</v>
      </c>
      <c r="H52" s="347" t="s">
        <v>588</v>
      </c>
      <c r="I52" s="348"/>
      <c r="J52" s="348"/>
      <c r="K52" s="349"/>
      <c r="L52" s="371">
        <f>K53</f>
        <v>698975.56203419168</v>
      </c>
    </row>
    <row r="53" spans="2:12" ht="15.75" thickBot="1">
      <c r="B53" s="403" t="s">
        <v>586</v>
      </c>
      <c r="C53" s="404"/>
      <c r="D53" s="405"/>
      <c r="E53" s="139">
        <f>'CPU_Eq. Coord.'!F73</f>
        <v>444809.52550774004</v>
      </c>
      <c r="F53" s="368"/>
      <c r="H53" s="403" t="s">
        <v>586</v>
      </c>
      <c r="I53" s="404"/>
      <c r="J53" s="405"/>
      <c r="K53" s="139">
        <f>'CPU_Eq. Coord.'!L73</f>
        <v>698975.56203419168</v>
      </c>
      <c r="L53" s="368"/>
    </row>
    <row r="54" spans="2:12" ht="15.75" thickBot="1">
      <c r="B54" s="337" t="s">
        <v>585</v>
      </c>
      <c r="C54" s="338"/>
      <c r="D54" s="339"/>
      <c r="E54" s="59" t="s">
        <v>587</v>
      </c>
      <c r="F54" s="82">
        <f>F47+F48+F50+F52</f>
        <v>1645384.8102269585</v>
      </c>
      <c r="H54" s="337" t="s">
        <v>585</v>
      </c>
      <c r="I54" s="338"/>
      <c r="J54" s="339"/>
      <c r="K54" s="59" t="s">
        <v>587</v>
      </c>
      <c r="L54" s="82">
        <f>L47+L48+L50+L52</f>
        <v>2953474.758857972</v>
      </c>
    </row>
    <row r="55" spans="2:12" ht="15.75" thickBot="1">
      <c r="B55" s="60" t="s">
        <v>418</v>
      </c>
      <c r="C55" s="61"/>
      <c r="D55" s="61"/>
      <c r="E55" s="91" t="s">
        <v>428</v>
      </c>
      <c r="F55" s="76">
        <f>F54/12</f>
        <v>137115.40085224653</v>
      </c>
      <c r="H55" s="60" t="s">
        <v>418</v>
      </c>
      <c r="I55" s="61"/>
      <c r="J55" s="61"/>
      <c r="K55" s="91" t="s">
        <v>428</v>
      </c>
      <c r="L55" s="76">
        <f>L54/12</f>
        <v>246122.89657149767</v>
      </c>
    </row>
    <row r="57" spans="2:12" ht="15.75" thickBot="1">
      <c r="L57" s="43"/>
    </row>
    <row r="58" spans="2:12" ht="21.75" thickBot="1">
      <c r="B58" s="396" t="s">
        <v>641</v>
      </c>
      <c r="C58" s="397"/>
      <c r="D58" s="397"/>
      <c r="E58" s="397"/>
      <c r="F58" s="398"/>
    </row>
    <row r="59" spans="2:12">
      <c r="B59" s="355" t="s">
        <v>1</v>
      </c>
      <c r="C59" s="356"/>
      <c r="D59" s="356"/>
      <c r="E59" s="356" t="s">
        <v>2</v>
      </c>
      <c r="F59" s="395"/>
    </row>
    <row r="60" spans="2:12" ht="15.75" thickBot="1">
      <c r="B60" s="357"/>
      <c r="C60" s="358"/>
      <c r="D60" s="358"/>
      <c r="E60" s="153" t="s">
        <v>3</v>
      </c>
      <c r="F60" s="54" t="s">
        <v>4</v>
      </c>
    </row>
    <row r="61" spans="2:12">
      <c r="B61" s="359" t="s">
        <v>398</v>
      </c>
      <c r="C61" s="360"/>
      <c r="D61" s="360"/>
      <c r="E61" s="360"/>
      <c r="F61" s="361">
        <f>SUM(E62:E63)</f>
        <v>897370.9702199999</v>
      </c>
    </row>
    <row r="62" spans="2:12">
      <c r="B62" s="363" t="s">
        <v>5</v>
      </c>
      <c r="C62" s="378" t="s">
        <v>6</v>
      </c>
      <c r="D62" s="378"/>
      <c r="E62" s="83">
        <f>M14</f>
        <v>704208.03101999988</v>
      </c>
      <c r="F62" s="362"/>
    </row>
    <row r="63" spans="2:12" ht="15.75" thickBot="1">
      <c r="B63" s="364"/>
      <c r="C63" s="378" t="s">
        <v>7</v>
      </c>
      <c r="D63" s="378"/>
      <c r="E63" s="83">
        <f>M15</f>
        <v>193162.93920000002</v>
      </c>
      <c r="F63" s="399"/>
    </row>
    <row r="64" spans="2:12">
      <c r="B64" s="352" t="s">
        <v>414</v>
      </c>
      <c r="C64" s="353"/>
      <c r="D64" s="353"/>
      <c r="E64" s="354"/>
      <c r="F64" s="371">
        <f>SUM(E65)</f>
        <v>109838.20675492799</v>
      </c>
    </row>
    <row r="65" spans="2:6" ht="15.75" thickBot="1">
      <c r="B65" s="55" t="s">
        <v>8</v>
      </c>
      <c r="C65" s="77">
        <f>'Tabela DNIT-Consult-BDI'!$I$27/100</f>
        <v>0.12240000000000001</v>
      </c>
      <c r="D65" s="56" t="s">
        <v>9</v>
      </c>
      <c r="E65" s="83">
        <f>F61*C65</f>
        <v>109838.20675492799</v>
      </c>
      <c r="F65" s="368"/>
    </row>
    <row r="66" spans="2:6">
      <c r="B66" s="352" t="s">
        <v>591</v>
      </c>
      <c r="C66" s="353"/>
      <c r="D66" s="353"/>
      <c r="E66" s="354"/>
      <c r="F66" s="371">
        <f>SUM(E67:E68)</f>
        <v>325610.22599999997</v>
      </c>
    </row>
    <row r="67" spans="2:6">
      <c r="B67" s="373" t="s">
        <v>580</v>
      </c>
      <c r="C67" s="374"/>
      <c r="D67" s="374"/>
      <c r="E67" s="83">
        <f>I29</f>
        <v>115692.78600000001</v>
      </c>
      <c r="F67" s="372"/>
    </row>
    <row r="68" spans="2:6" ht="15.75" thickBot="1">
      <c r="B68" s="375" t="s">
        <v>579</v>
      </c>
      <c r="C68" s="376"/>
      <c r="D68" s="377"/>
      <c r="E68" s="83">
        <f>I30</f>
        <v>209917.43999999997</v>
      </c>
      <c r="F68" s="372"/>
    </row>
    <row r="69" spans="2:6">
      <c r="B69" s="347" t="s">
        <v>10</v>
      </c>
      <c r="C69" s="348"/>
      <c r="D69" s="349"/>
      <c r="E69" s="152" t="s">
        <v>417</v>
      </c>
      <c r="F69" s="154">
        <f>F66+F64+F61</f>
        <v>1332819.4029749278</v>
      </c>
    </row>
    <row r="70" spans="2:6">
      <c r="B70" s="350" t="s">
        <v>11</v>
      </c>
      <c r="C70" s="351"/>
      <c r="D70" s="351"/>
      <c r="E70" s="400"/>
      <c r="F70" s="362">
        <f>D71*F69</f>
        <v>159938.32835699132</v>
      </c>
    </row>
    <row r="71" spans="2:6">
      <c r="B71" s="365" t="s">
        <v>8</v>
      </c>
      <c r="C71" s="366"/>
      <c r="D71" s="77">
        <f>'Tabela DNIT-Consult-BDI'!$I$30/100</f>
        <v>0.12</v>
      </c>
      <c r="E71" s="49" t="s">
        <v>12</v>
      </c>
      <c r="F71" s="362"/>
    </row>
    <row r="72" spans="2:6">
      <c r="B72" s="350" t="s">
        <v>13</v>
      </c>
      <c r="C72" s="351"/>
      <c r="D72" s="351"/>
      <c r="E72" s="400"/>
      <c r="F72" s="367">
        <f>D73*(F69+F70)</f>
        <v>308105.19574690808</v>
      </c>
    </row>
    <row r="73" spans="2:6" ht="15.75" thickBot="1">
      <c r="B73" s="401" t="s">
        <v>8</v>
      </c>
      <c r="C73" s="402"/>
      <c r="D73" s="137">
        <f>'Tabela DNIT-Consult-BDI'!$I$35/100</f>
        <v>0.2064</v>
      </c>
      <c r="E73" s="138" t="s">
        <v>14</v>
      </c>
      <c r="F73" s="372"/>
    </row>
    <row r="74" spans="2:6">
      <c r="B74" s="347" t="s">
        <v>588</v>
      </c>
      <c r="C74" s="348"/>
      <c r="D74" s="348"/>
      <c r="E74" s="349"/>
      <c r="F74" s="371">
        <f>E75</f>
        <v>1078370.9210774172</v>
      </c>
    </row>
    <row r="75" spans="2:6" ht="15.75" thickBot="1">
      <c r="B75" s="403" t="s">
        <v>586</v>
      </c>
      <c r="C75" s="404"/>
      <c r="D75" s="405"/>
      <c r="E75" s="139">
        <f>'CPU_Eq. Coord.'!R73</f>
        <v>1078370.9210774172</v>
      </c>
      <c r="F75" s="368"/>
    </row>
    <row r="76" spans="2:6" ht="15.75" thickBot="1">
      <c r="B76" s="337" t="s">
        <v>585</v>
      </c>
      <c r="C76" s="338"/>
      <c r="D76" s="339"/>
      <c r="E76" s="59" t="s">
        <v>587</v>
      </c>
      <c r="F76" s="82">
        <f>F69+F70+F72+F74</f>
        <v>2879233.8481562445</v>
      </c>
    </row>
    <row r="77" spans="2:6" ht="15.75" thickBot="1">
      <c r="B77" s="60" t="s">
        <v>418</v>
      </c>
      <c r="C77" s="61"/>
      <c r="D77" s="61"/>
      <c r="E77" s="91" t="s">
        <v>428</v>
      </c>
      <c r="F77" s="76">
        <f>F76/12</f>
        <v>239936.15401302036</v>
      </c>
    </row>
  </sheetData>
  <mergeCells count="96">
    <mergeCell ref="A18:I18"/>
    <mergeCell ref="H39:K39"/>
    <mergeCell ref="H44:K44"/>
    <mergeCell ref="B23:H23"/>
    <mergeCell ref="A1:M1"/>
    <mergeCell ref="A2:M2"/>
    <mergeCell ref="A3:M3"/>
    <mergeCell ref="A5:A16"/>
    <mergeCell ref="B8:H8"/>
    <mergeCell ref="B5:M5"/>
    <mergeCell ref="D6:D7"/>
    <mergeCell ref="B13:M13"/>
    <mergeCell ref="D14:D15"/>
    <mergeCell ref="B16:H16"/>
    <mergeCell ref="B31:H31"/>
    <mergeCell ref="B39:E39"/>
    <mergeCell ref="B42:E42"/>
    <mergeCell ref="F42:F43"/>
    <mergeCell ref="B44:E44"/>
    <mergeCell ref="F44:F46"/>
    <mergeCell ref="B45:D45"/>
    <mergeCell ref="A20:A31"/>
    <mergeCell ref="B46:D46"/>
    <mergeCell ref="H36:L36"/>
    <mergeCell ref="H37:J38"/>
    <mergeCell ref="B28:I28"/>
    <mergeCell ref="B20:I20"/>
    <mergeCell ref="I41:J41"/>
    <mergeCell ref="H42:K42"/>
    <mergeCell ref="K37:L37"/>
    <mergeCell ref="B37:D38"/>
    <mergeCell ref="E37:F37"/>
    <mergeCell ref="F39:F41"/>
    <mergeCell ref="B40:B41"/>
    <mergeCell ref="C40:D40"/>
    <mergeCell ref="C41:D41"/>
    <mergeCell ref="B36:F36"/>
    <mergeCell ref="L39:L41"/>
    <mergeCell ref="L42:L43"/>
    <mergeCell ref="H40:H41"/>
    <mergeCell ref="I40:J40"/>
    <mergeCell ref="B67:D67"/>
    <mergeCell ref="C62:D62"/>
    <mergeCell ref="H54:J54"/>
    <mergeCell ref="H50:K50"/>
    <mergeCell ref="H48:K48"/>
    <mergeCell ref="B54:D54"/>
    <mergeCell ref="H47:J47"/>
    <mergeCell ref="H45:J45"/>
    <mergeCell ref="H46:J46"/>
    <mergeCell ref="B52:E52"/>
    <mergeCell ref="H52:K52"/>
    <mergeCell ref="B53:D53"/>
    <mergeCell ref="H53:J53"/>
    <mergeCell ref="F52:F53"/>
    <mergeCell ref="L44:L46"/>
    <mergeCell ref="B68:D68"/>
    <mergeCell ref="B64:E64"/>
    <mergeCell ref="F64:F65"/>
    <mergeCell ref="B66:E66"/>
    <mergeCell ref="F66:F68"/>
    <mergeCell ref="L52:L53"/>
    <mergeCell ref="L48:L49"/>
    <mergeCell ref="H49:I49"/>
    <mergeCell ref="L50:L51"/>
    <mergeCell ref="H51:I51"/>
    <mergeCell ref="B50:E50"/>
    <mergeCell ref="B48:E48"/>
    <mergeCell ref="B47:D47"/>
    <mergeCell ref="B74:E74"/>
    <mergeCell ref="F74:F75"/>
    <mergeCell ref="B75:D75"/>
    <mergeCell ref="F48:F49"/>
    <mergeCell ref="B49:C49"/>
    <mergeCell ref="B69:D69"/>
    <mergeCell ref="B70:E70"/>
    <mergeCell ref="F70:F71"/>
    <mergeCell ref="B71:C71"/>
    <mergeCell ref="F50:F51"/>
    <mergeCell ref="B51:C51"/>
    <mergeCell ref="B76:D76"/>
    <mergeCell ref="B9:M9"/>
    <mergeCell ref="D10:D11"/>
    <mergeCell ref="B12:H12"/>
    <mergeCell ref="B24:I24"/>
    <mergeCell ref="B27:H27"/>
    <mergeCell ref="B58:F58"/>
    <mergeCell ref="B59:D60"/>
    <mergeCell ref="E59:F59"/>
    <mergeCell ref="B61:E61"/>
    <mergeCell ref="F61:F63"/>
    <mergeCell ref="B62:B63"/>
    <mergeCell ref="C63:D63"/>
    <mergeCell ref="B72:E72"/>
    <mergeCell ref="F72:F73"/>
    <mergeCell ref="B73:C73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70E48C-8959-448D-A042-9E5EBF3B7DDE}">
  <sheetPr>
    <tabColor theme="9"/>
  </sheetPr>
  <dimension ref="A1:N93"/>
  <sheetViews>
    <sheetView zoomScale="80" zoomScaleNormal="80" workbookViewId="0">
      <selection activeCell="B41" sqref="B41"/>
    </sheetView>
  </sheetViews>
  <sheetFormatPr defaultRowHeight="15"/>
  <cols>
    <col min="1" max="1" width="8.85546875" style="27" customWidth="1"/>
    <col min="2" max="2" width="73.85546875" style="27" customWidth="1"/>
    <col min="3" max="5" width="17.42578125" style="27" customWidth="1"/>
    <col min="6" max="6" width="21.140625" style="27" bestFit="1" customWidth="1"/>
    <col min="7" max="7" width="19.42578125" style="27" customWidth="1"/>
    <col min="8" max="8" width="15.85546875" style="27" bestFit="1" customWidth="1"/>
    <col min="9" max="9" width="46" style="27" customWidth="1"/>
    <col min="10" max="10" width="29.42578125" style="27" customWidth="1"/>
    <col min="11" max="11" width="30.42578125" style="27" customWidth="1"/>
    <col min="12" max="12" width="20.28515625" style="27" customWidth="1"/>
    <col min="13" max="13" width="21.5703125" style="27" customWidth="1"/>
    <col min="14" max="14" width="9.140625" style="27"/>
    <col min="15" max="15" width="17.42578125" style="27" customWidth="1"/>
    <col min="16" max="16" width="18" style="27" customWidth="1"/>
    <col min="17" max="17" width="36.7109375" style="27" customWidth="1"/>
    <col min="18" max="18" width="22.85546875" style="27" customWidth="1"/>
    <col min="19" max="19" width="20.7109375" style="27" bestFit="1" customWidth="1"/>
    <col min="20" max="20" width="9.140625" style="27" customWidth="1"/>
    <col min="21" max="16384" width="9.140625" style="27"/>
  </cols>
  <sheetData>
    <row r="1" spans="1:13" ht="30.75" customHeight="1">
      <c r="A1" s="384" t="s">
        <v>396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</row>
    <row r="2" spans="1:13" ht="28.5" customHeight="1" thickBot="1">
      <c r="A2" s="409" t="s">
        <v>656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</row>
    <row r="3" spans="1:13">
      <c r="A3" s="386" t="s">
        <v>397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8"/>
    </row>
    <row r="4" spans="1:13" s="32" customFormat="1" ht="60">
      <c r="A4" s="155" t="s">
        <v>378</v>
      </c>
      <c r="B4" s="68" t="s">
        <v>306</v>
      </c>
      <c r="C4" s="68" t="s">
        <v>307</v>
      </c>
      <c r="D4" s="68" t="s">
        <v>377</v>
      </c>
      <c r="E4" s="68" t="s">
        <v>308</v>
      </c>
      <c r="F4" s="68" t="s">
        <v>309</v>
      </c>
      <c r="G4" s="68" t="s">
        <v>762</v>
      </c>
      <c r="H4" s="68" t="s">
        <v>310</v>
      </c>
      <c r="I4" s="68" t="s">
        <v>311</v>
      </c>
      <c r="J4" s="68" t="s">
        <v>312</v>
      </c>
      <c r="K4" s="68" t="s">
        <v>319</v>
      </c>
      <c r="L4" s="68" t="s">
        <v>320</v>
      </c>
      <c r="M4" s="72" t="s">
        <v>321</v>
      </c>
    </row>
    <row r="5" spans="1:13" ht="17.25">
      <c r="A5" s="389" t="s">
        <v>489</v>
      </c>
      <c r="B5" s="340" t="s">
        <v>316</v>
      </c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1"/>
    </row>
    <row r="6" spans="1:13" s="33" customFormat="1" ht="17.25">
      <c r="A6" s="389"/>
      <c r="B6" s="69" t="s">
        <v>25</v>
      </c>
      <c r="C6" s="156" t="s">
        <v>26</v>
      </c>
      <c r="D6" s="342">
        <v>1</v>
      </c>
      <c r="E6" s="156">
        <v>1</v>
      </c>
      <c r="F6" s="50">
        <v>0.75</v>
      </c>
      <c r="G6" s="50">
        <f>$D$6*E6*F6*176</f>
        <v>132</v>
      </c>
      <c r="H6" s="36">
        <f>VLOOKUP(C6,'Tabela DNIT-Consult-MO'!$A:$D,4,FALSE)</f>
        <v>14226.86</v>
      </c>
      <c r="I6" s="36">
        <f>F6*H6*$D$6*E6</f>
        <v>10670.145</v>
      </c>
      <c r="J6" s="70">
        <f>VLOOKUP(C6,'Tabela DNIT-Consult-MO'!$A:$F,5,FALSE)</f>
        <v>0.80049999999999999</v>
      </c>
      <c r="K6" s="36">
        <f>H6*J6</f>
        <v>11388.601430000001</v>
      </c>
      <c r="L6" s="36">
        <f>I6*J6</f>
        <v>8541.4510725</v>
      </c>
      <c r="M6" s="37">
        <f>I6+L6</f>
        <v>19211.5960725</v>
      </c>
    </row>
    <row r="7" spans="1:13">
      <c r="A7" s="389"/>
      <c r="B7" s="69" t="s">
        <v>28</v>
      </c>
      <c r="C7" s="156" t="s">
        <v>29</v>
      </c>
      <c r="D7" s="342"/>
      <c r="E7" s="156">
        <v>1</v>
      </c>
      <c r="F7" s="50">
        <v>0.75</v>
      </c>
      <c r="G7" s="50">
        <f>$D$6*E7*F7*176</f>
        <v>132</v>
      </c>
      <c r="H7" s="36">
        <f>VLOOKUP(C7,'Tabela DNIT-Consult-MO'!$A:$D,4,FALSE)</f>
        <v>2974.3</v>
      </c>
      <c r="I7" s="36">
        <f>F7*H7*$D$6*E7</f>
        <v>2230.7250000000004</v>
      </c>
      <c r="J7" s="70">
        <f>VLOOKUP(C7,'Tabela DNIT-Consult-MO'!$A:$F,5,FALSE)</f>
        <v>0.80400000000000005</v>
      </c>
      <c r="K7" s="36">
        <f>H7*J7</f>
        <v>2391.3372000000004</v>
      </c>
      <c r="L7" s="36">
        <f>I7*J7</f>
        <v>1793.5029000000004</v>
      </c>
      <c r="M7" s="37">
        <f>I7+L7</f>
        <v>4024.2279000000008</v>
      </c>
    </row>
    <row r="8" spans="1:13">
      <c r="A8" s="389"/>
      <c r="B8" s="343" t="s">
        <v>4</v>
      </c>
      <c r="C8" s="343"/>
      <c r="D8" s="343"/>
      <c r="E8" s="343"/>
      <c r="F8" s="343"/>
      <c r="G8" s="343"/>
      <c r="H8" s="343"/>
      <c r="I8" s="51">
        <f>SUM(I6:I7)</f>
        <v>12900.87</v>
      </c>
      <c r="J8" s="44"/>
      <c r="K8" s="44"/>
      <c r="L8" s="44"/>
      <c r="M8" s="41">
        <f>SUM(M6:M7)</f>
        <v>23235.823972500002</v>
      </c>
    </row>
    <row r="9" spans="1:13" ht="17.25">
      <c r="A9" s="389"/>
      <c r="B9" s="340" t="s">
        <v>433</v>
      </c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1"/>
    </row>
    <row r="10" spans="1:13">
      <c r="A10" s="389"/>
      <c r="B10" s="69" t="s">
        <v>25</v>
      </c>
      <c r="C10" s="156" t="s">
        <v>26</v>
      </c>
      <c r="D10" s="342">
        <v>1</v>
      </c>
      <c r="E10" s="156">
        <v>1</v>
      </c>
      <c r="F10" s="50">
        <v>1</v>
      </c>
      <c r="G10" s="50">
        <f>$D$10*E10*F10*176</f>
        <v>176</v>
      </c>
      <c r="H10" s="36">
        <f>VLOOKUP(C10,'Tabela DNIT-Consult-MO'!$A:$D,4,FALSE)</f>
        <v>14226.86</v>
      </c>
      <c r="I10" s="36">
        <f>F10*H10*$D$10*E10</f>
        <v>14226.86</v>
      </c>
      <c r="J10" s="70">
        <f>VLOOKUP(C10,'Tabela DNIT-Consult-MO'!$A:$F,5,FALSE)</f>
        <v>0.80049999999999999</v>
      </c>
      <c r="K10" s="36">
        <f>H10*J10</f>
        <v>11388.601430000001</v>
      </c>
      <c r="L10" s="36">
        <f>I10*J10</f>
        <v>11388.601430000001</v>
      </c>
      <c r="M10" s="37">
        <f>I10+L10</f>
        <v>25615.461430000003</v>
      </c>
    </row>
    <row r="11" spans="1:13">
      <c r="A11" s="389"/>
      <c r="B11" s="69" t="s">
        <v>28</v>
      </c>
      <c r="C11" s="156" t="s">
        <v>29</v>
      </c>
      <c r="D11" s="342"/>
      <c r="E11" s="156">
        <v>1</v>
      </c>
      <c r="F11" s="50">
        <v>1</v>
      </c>
      <c r="G11" s="50">
        <f>$D$10*E11*F11*176</f>
        <v>176</v>
      </c>
      <c r="H11" s="36">
        <f>VLOOKUP(C11,'Tabela DNIT-Consult-MO'!$A:$D,4,FALSE)</f>
        <v>2974.3</v>
      </c>
      <c r="I11" s="36">
        <f>F11*H11*$D$10*E11</f>
        <v>2974.3</v>
      </c>
      <c r="J11" s="70">
        <f>VLOOKUP(C11,'Tabela DNIT-Consult-MO'!$A:$F,5,FALSE)</f>
        <v>0.80400000000000005</v>
      </c>
      <c r="K11" s="36">
        <f>H11*J11</f>
        <v>2391.3372000000004</v>
      </c>
      <c r="L11" s="36">
        <f>I11*J11</f>
        <v>2391.3372000000004</v>
      </c>
      <c r="M11" s="37">
        <f>I11+L11</f>
        <v>5365.637200000001</v>
      </c>
    </row>
    <row r="12" spans="1:13">
      <c r="A12" s="389"/>
      <c r="B12" s="343" t="s">
        <v>4</v>
      </c>
      <c r="C12" s="343"/>
      <c r="D12" s="343"/>
      <c r="E12" s="343"/>
      <c r="F12" s="343"/>
      <c r="G12" s="343"/>
      <c r="H12" s="343"/>
      <c r="I12" s="51">
        <f>SUM(I10:I11)</f>
        <v>17201.16</v>
      </c>
      <c r="J12" s="44"/>
      <c r="K12" s="44"/>
      <c r="L12" s="44"/>
      <c r="M12" s="41">
        <f>SUM(M10:M11)</f>
        <v>30981.098630000004</v>
      </c>
    </row>
    <row r="13" spans="1:13" ht="17.25">
      <c r="A13" s="389"/>
      <c r="B13" s="340" t="s">
        <v>643</v>
      </c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1"/>
    </row>
    <row r="14" spans="1:13">
      <c r="A14" s="389"/>
      <c r="B14" s="69" t="s">
        <v>25</v>
      </c>
      <c r="C14" s="156" t="s">
        <v>26</v>
      </c>
      <c r="D14" s="342">
        <v>1</v>
      </c>
      <c r="E14" s="156">
        <v>1</v>
      </c>
      <c r="F14" s="50">
        <v>1</v>
      </c>
      <c r="G14" s="50">
        <f>$D$14*E14*F14*176</f>
        <v>176</v>
      </c>
      <c r="H14" s="36">
        <f>VLOOKUP(C14,'Tabela DNIT-Consult-MO'!$A:$D,4,FALSE)</f>
        <v>14226.86</v>
      </c>
      <c r="I14" s="36">
        <f>F14*H14*$D$14*E14</f>
        <v>14226.86</v>
      </c>
      <c r="J14" s="70">
        <f>VLOOKUP(C14,'Tabela DNIT-Consult-MO'!$A:$F,5,FALSE)</f>
        <v>0.80049999999999999</v>
      </c>
      <c r="K14" s="36">
        <f>H14*J14</f>
        <v>11388.601430000001</v>
      </c>
      <c r="L14" s="36">
        <f>I14*J14</f>
        <v>11388.601430000001</v>
      </c>
      <c r="M14" s="37">
        <f>I14+L14</f>
        <v>25615.461430000003</v>
      </c>
    </row>
    <row r="15" spans="1:13">
      <c r="A15" s="389"/>
      <c r="B15" s="69" t="s">
        <v>28</v>
      </c>
      <c r="C15" s="156" t="s">
        <v>29</v>
      </c>
      <c r="D15" s="342"/>
      <c r="E15" s="156">
        <v>1</v>
      </c>
      <c r="F15" s="50">
        <v>1</v>
      </c>
      <c r="G15" s="50">
        <f>$D$14*E15*F15*176</f>
        <v>176</v>
      </c>
      <c r="H15" s="36">
        <f>VLOOKUP(C15,'Tabela DNIT-Consult-MO'!$A:$D,4,FALSE)</f>
        <v>2974.3</v>
      </c>
      <c r="I15" s="36">
        <f>F15*H15*$D$14*E15</f>
        <v>2974.3</v>
      </c>
      <c r="J15" s="70">
        <f>VLOOKUP(C15,'Tabela DNIT-Consult-MO'!$A:$F,5,FALSE)</f>
        <v>0.80400000000000005</v>
      </c>
      <c r="K15" s="36">
        <f>H15*J15</f>
        <v>2391.3372000000004</v>
      </c>
      <c r="L15" s="36">
        <f>I15*J15</f>
        <v>2391.3372000000004</v>
      </c>
      <c r="M15" s="37">
        <f>I15+L15</f>
        <v>5365.637200000001</v>
      </c>
    </row>
    <row r="16" spans="1:13" ht="15.75" thickBot="1">
      <c r="A16" s="390"/>
      <c r="B16" s="346" t="s">
        <v>4</v>
      </c>
      <c r="C16" s="346"/>
      <c r="D16" s="346"/>
      <c r="E16" s="346"/>
      <c r="F16" s="346"/>
      <c r="G16" s="346"/>
      <c r="H16" s="346"/>
      <c r="I16" s="73">
        <f>SUM(I14:I15)</f>
        <v>17201.16</v>
      </c>
      <c r="J16" s="74"/>
      <c r="K16" s="74"/>
      <c r="L16" s="74"/>
      <c r="M16" s="42">
        <f>SUM(M14:M15)</f>
        <v>30981.098630000004</v>
      </c>
    </row>
    <row r="17" spans="1:13" ht="15.75" thickBot="1">
      <c r="A17" s="38"/>
      <c r="B17" s="39"/>
      <c r="C17" s="39"/>
      <c r="D17" s="39"/>
      <c r="E17" s="39"/>
      <c r="F17" s="39"/>
      <c r="G17" s="39"/>
      <c r="H17" s="39"/>
      <c r="I17" s="40"/>
      <c r="J17" s="26"/>
      <c r="K17" s="26"/>
      <c r="L17" s="26"/>
      <c r="M17" s="40"/>
    </row>
    <row r="18" spans="1:13">
      <c r="A18" s="392" t="s">
        <v>400</v>
      </c>
      <c r="B18" s="393"/>
      <c r="C18" s="393"/>
      <c r="D18" s="393"/>
      <c r="E18" s="393"/>
      <c r="F18" s="393"/>
      <c r="G18" s="393"/>
      <c r="H18" s="394"/>
    </row>
    <row r="19" spans="1:13" ht="45">
      <c r="A19" s="155" t="s">
        <v>378</v>
      </c>
      <c r="B19" s="45" t="s">
        <v>403</v>
      </c>
      <c r="C19" s="46" t="s">
        <v>404</v>
      </c>
      <c r="D19" s="46" t="s">
        <v>407</v>
      </c>
      <c r="E19" s="46" t="s">
        <v>405</v>
      </c>
      <c r="F19" s="46" t="s">
        <v>408</v>
      </c>
      <c r="G19" s="46" t="s">
        <v>406</v>
      </c>
      <c r="H19" s="64" t="s">
        <v>416</v>
      </c>
    </row>
    <row r="20" spans="1:13">
      <c r="A20" s="413" t="s">
        <v>490</v>
      </c>
      <c r="B20" s="344" t="s">
        <v>589</v>
      </c>
      <c r="C20" s="344" t="s">
        <v>32</v>
      </c>
      <c r="D20" s="344"/>
      <c r="E20" s="344"/>
      <c r="F20" s="344"/>
      <c r="G20" s="344"/>
      <c r="H20" s="345"/>
    </row>
    <row r="21" spans="1:13">
      <c r="A21" s="413"/>
      <c r="B21" s="47" t="s">
        <v>473</v>
      </c>
      <c r="C21" s="156" t="s">
        <v>32</v>
      </c>
      <c r="D21" s="49">
        <f>'Mapa de Cotação - FWD, IRI, LVC'!S5</f>
        <v>1407</v>
      </c>
      <c r="E21" s="50">
        <v>1</v>
      </c>
      <c r="F21" s="49">
        <f t="shared" ref="F21:F26" si="0">D21*E21</f>
        <v>1407</v>
      </c>
      <c r="G21" s="36">
        <f>'Mapa de Cotação - FWD, IRI, LVC'!$K$17</f>
        <v>219</v>
      </c>
      <c r="H21" s="37">
        <f t="shared" ref="H21:H26" si="1">G21*F21</f>
        <v>308133</v>
      </c>
    </row>
    <row r="22" spans="1:13">
      <c r="A22" s="413"/>
      <c r="B22" s="47" t="s">
        <v>474</v>
      </c>
      <c r="C22" s="156" t="s">
        <v>32</v>
      </c>
      <c r="D22" s="49">
        <f>'Mapa de Cotação - FWD, IRI, LVC'!T5</f>
        <v>1407</v>
      </c>
      <c r="E22" s="50">
        <v>1</v>
      </c>
      <c r="F22" s="49">
        <f t="shared" si="0"/>
        <v>1407</v>
      </c>
      <c r="G22" s="36">
        <f>'Mapa de Cotação - FWD, IRI, LVC'!$K$18</f>
        <v>23.49</v>
      </c>
      <c r="H22" s="37">
        <f t="shared" si="1"/>
        <v>33050.43</v>
      </c>
    </row>
    <row r="23" spans="1:13">
      <c r="A23" s="413"/>
      <c r="B23" s="47" t="s">
        <v>735</v>
      </c>
      <c r="C23" s="156" t="s">
        <v>32</v>
      </c>
      <c r="D23" s="49">
        <f>'Mapa de Cotação - FWD, IRI, LVC'!U5</f>
        <v>1407</v>
      </c>
      <c r="E23" s="50">
        <v>1</v>
      </c>
      <c r="F23" s="49">
        <f t="shared" si="0"/>
        <v>1407</v>
      </c>
      <c r="G23" s="36">
        <f>'Mapa de Cotação - FWD, IRI, LVC'!$K$19</f>
        <v>57.15</v>
      </c>
      <c r="H23" s="37">
        <f t="shared" si="1"/>
        <v>80410.05</v>
      </c>
    </row>
    <row r="24" spans="1:13">
      <c r="A24" s="413"/>
      <c r="B24" s="47" t="s">
        <v>475</v>
      </c>
      <c r="C24" s="156" t="s">
        <v>476</v>
      </c>
      <c r="D24" s="49">
        <f>'Mapa de Cotação - FWD, IRI, LVC'!V5</f>
        <v>24</v>
      </c>
      <c r="E24" s="50">
        <v>1</v>
      </c>
      <c r="F24" s="49">
        <f t="shared" si="0"/>
        <v>24</v>
      </c>
      <c r="G24" s="36">
        <f>'Mapa de Cotação - FWD, IRI, LVC'!$K$20</f>
        <v>295</v>
      </c>
      <c r="H24" s="37">
        <f t="shared" si="1"/>
        <v>7080</v>
      </c>
    </row>
    <row r="25" spans="1:13">
      <c r="A25" s="413"/>
      <c r="B25" s="44" t="s">
        <v>247</v>
      </c>
      <c r="C25" s="156" t="s">
        <v>402</v>
      </c>
      <c r="D25" s="49">
        <f>D6</f>
        <v>1</v>
      </c>
      <c r="E25" s="50">
        <v>0.75</v>
      </c>
      <c r="F25" s="49">
        <f t="shared" si="0"/>
        <v>0.75</v>
      </c>
      <c r="G25" s="36">
        <f>(('Tabela DNIT-Consult-BDI'!$H$5*66)+('Tabela DNIT-Consult-BDI'!$I$5*116.49))</f>
        <v>3213.6885000000002</v>
      </c>
      <c r="H25" s="37">
        <f t="shared" si="1"/>
        <v>2410.2663750000002</v>
      </c>
    </row>
    <row r="26" spans="1:13">
      <c r="A26" s="413"/>
      <c r="B26" s="44" t="s">
        <v>401</v>
      </c>
      <c r="C26" s="156" t="s">
        <v>33</v>
      </c>
      <c r="D26" s="50">
        <f>(E6+E7)*D6*8</f>
        <v>16</v>
      </c>
      <c r="E26" s="50">
        <v>0.75</v>
      </c>
      <c r="F26" s="49">
        <f t="shared" si="0"/>
        <v>12</v>
      </c>
      <c r="G26" s="52">
        <f>Diárias!$E$5</f>
        <v>364.43999999999994</v>
      </c>
      <c r="H26" s="37">
        <f t="shared" si="1"/>
        <v>4373.2799999999988</v>
      </c>
    </row>
    <row r="27" spans="1:13">
      <c r="A27" s="413"/>
      <c r="B27" s="343" t="s">
        <v>4</v>
      </c>
      <c r="C27" s="343"/>
      <c r="D27" s="343"/>
      <c r="E27" s="343"/>
      <c r="F27" s="343"/>
      <c r="G27" s="343"/>
      <c r="H27" s="41">
        <f>SUM(H21:H26)</f>
        <v>435457.02637500002</v>
      </c>
    </row>
    <row r="28" spans="1:13">
      <c r="A28" s="413"/>
      <c r="B28" s="344" t="s">
        <v>590</v>
      </c>
      <c r="C28" s="344"/>
      <c r="D28" s="344"/>
      <c r="E28" s="344"/>
      <c r="F28" s="344"/>
      <c r="G28" s="344"/>
      <c r="H28" s="345"/>
    </row>
    <row r="29" spans="1:13">
      <c r="A29" s="413"/>
      <c r="B29" s="47" t="s">
        <v>473</v>
      </c>
      <c r="C29" s="156" t="s">
        <v>32</v>
      </c>
      <c r="D29" s="49">
        <f>'Mapa de Cotação - FWD, IRI, LVC'!S6</f>
        <v>1831</v>
      </c>
      <c r="E29" s="50">
        <v>1</v>
      </c>
      <c r="F29" s="49">
        <f t="shared" ref="F29:F34" si="2">D29*E29</f>
        <v>1831</v>
      </c>
      <c r="G29" s="36">
        <f>'Mapa de Cotação - FWD, IRI, LVC'!$K$17</f>
        <v>219</v>
      </c>
      <c r="H29" s="37">
        <f t="shared" ref="H29:H32" si="3">G29*F29</f>
        <v>400989</v>
      </c>
    </row>
    <row r="30" spans="1:13">
      <c r="A30" s="413"/>
      <c r="B30" s="47" t="s">
        <v>474</v>
      </c>
      <c r="C30" s="156" t="s">
        <v>32</v>
      </c>
      <c r="D30" s="49">
        <f>'Mapa de Cotação - FWD, IRI, LVC'!T6</f>
        <v>1831</v>
      </c>
      <c r="E30" s="50">
        <v>1</v>
      </c>
      <c r="F30" s="49">
        <f t="shared" si="2"/>
        <v>1831</v>
      </c>
      <c r="G30" s="36">
        <f>'Mapa de Cotação - FWD, IRI, LVC'!$K$18</f>
        <v>23.49</v>
      </c>
      <c r="H30" s="37">
        <f t="shared" si="3"/>
        <v>43010.189999999995</v>
      </c>
    </row>
    <row r="31" spans="1:13">
      <c r="A31" s="413"/>
      <c r="B31" s="47" t="s">
        <v>735</v>
      </c>
      <c r="C31" s="156" t="s">
        <v>32</v>
      </c>
      <c r="D31" s="49">
        <f>'Mapa de Cotação - FWD, IRI, LVC'!U6</f>
        <v>1831</v>
      </c>
      <c r="E31" s="50">
        <v>1</v>
      </c>
      <c r="F31" s="49">
        <f t="shared" si="2"/>
        <v>1831</v>
      </c>
      <c r="G31" s="36">
        <f>'Mapa de Cotação - FWD, IRI, LVC'!$K$19</f>
        <v>57.15</v>
      </c>
      <c r="H31" s="37">
        <f t="shared" si="3"/>
        <v>104641.65</v>
      </c>
    </row>
    <row r="32" spans="1:13">
      <c r="A32" s="413"/>
      <c r="B32" s="47" t="s">
        <v>475</v>
      </c>
      <c r="C32" s="156" t="s">
        <v>476</v>
      </c>
      <c r="D32" s="49">
        <f>'Mapa de Cotação - FWD, IRI, LVC'!V6</f>
        <v>37</v>
      </c>
      <c r="E32" s="50">
        <v>1</v>
      </c>
      <c r="F32" s="49">
        <f t="shared" si="2"/>
        <v>37</v>
      </c>
      <c r="G32" s="36">
        <f>'Mapa de Cotação - FWD, IRI, LVC'!$K$20</f>
        <v>295</v>
      </c>
      <c r="H32" s="37">
        <f t="shared" si="3"/>
        <v>10915</v>
      </c>
    </row>
    <row r="33" spans="1:14">
      <c r="A33" s="413"/>
      <c r="B33" s="44" t="s">
        <v>247</v>
      </c>
      <c r="C33" s="156" t="s">
        <v>402</v>
      </c>
      <c r="D33" s="49">
        <f>D10</f>
        <v>1</v>
      </c>
      <c r="E33" s="50">
        <v>1</v>
      </c>
      <c r="F33" s="49">
        <f t="shared" si="2"/>
        <v>1</v>
      </c>
      <c r="G33" s="36">
        <f>(('Tabela DNIT-Consult-BDI'!$H$5*66)+('Tabela DNIT-Consult-BDI'!$I$5*116.49))</f>
        <v>3213.6885000000002</v>
      </c>
      <c r="H33" s="37">
        <f>G33*F33</f>
        <v>3213.6885000000002</v>
      </c>
    </row>
    <row r="34" spans="1:14">
      <c r="A34" s="413"/>
      <c r="B34" s="44" t="s">
        <v>401</v>
      </c>
      <c r="C34" s="156" t="s">
        <v>33</v>
      </c>
      <c r="D34" s="50">
        <f>(E10+E11)*D10*8</f>
        <v>16</v>
      </c>
      <c r="E34" s="50">
        <v>1</v>
      </c>
      <c r="F34" s="49">
        <f t="shared" si="2"/>
        <v>16</v>
      </c>
      <c r="G34" s="52">
        <f>Diárias!$E$5</f>
        <v>364.43999999999994</v>
      </c>
      <c r="H34" s="37">
        <f>G34*F34</f>
        <v>5831.0399999999991</v>
      </c>
    </row>
    <row r="35" spans="1:14">
      <c r="A35" s="413"/>
      <c r="B35" s="343" t="s">
        <v>4</v>
      </c>
      <c r="C35" s="343"/>
      <c r="D35" s="343"/>
      <c r="E35" s="343"/>
      <c r="F35" s="343"/>
      <c r="G35" s="343"/>
      <c r="H35" s="41">
        <f>SUM(H29:H34)</f>
        <v>568600.56850000005</v>
      </c>
    </row>
    <row r="36" spans="1:14">
      <c r="A36" s="413"/>
      <c r="B36" s="344" t="s">
        <v>642</v>
      </c>
      <c r="C36" s="344"/>
      <c r="D36" s="344"/>
      <c r="E36" s="344"/>
      <c r="F36" s="344"/>
      <c r="G36" s="344"/>
      <c r="H36" s="345"/>
    </row>
    <row r="37" spans="1:14">
      <c r="A37" s="413"/>
      <c r="B37" s="47" t="s">
        <v>473</v>
      </c>
      <c r="C37" s="156" t="s">
        <v>32</v>
      </c>
      <c r="D37" s="168">
        <f>'Mapa de Cotação - FWD, IRI, LVC'!S7</f>
        <v>2148</v>
      </c>
      <c r="E37" s="50">
        <v>1</v>
      </c>
      <c r="F37" s="49">
        <f t="shared" ref="F37:F42" si="4">D37*E37</f>
        <v>2148</v>
      </c>
      <c r="G37" s="36">
        <f>'Mapa de Cotação - FWD, IRI, LVC'!$K$17</f>
        <v>219</v>
      </c>
      <c r="H37" s="37">
        <f t="shared" ref="H37:H40" si="5">G37*F37</f>
        <v>470412</v>
      </c>
    </row>
    <row r="38" spans="1:14">
      <c r="A38" s="413"/>
      <c r="B38" s="47" t="s">
        <v>474</v>
      </c>
      <c r="C38" s="156" t="s">
        <v>32</v>
      </c>
      <c r="D38" s="168">
        <f>'Mapa de Cotação - FWD, IRI, LVC'!T7</f>
        <v>2148</v>
      </c>
      <c r="E38" s="50">
        <v>1</v>
      </c>
      <c r="F38" s="49">
        <f t="shared" si="4"/>
        <v>2148</v>
      </c>
      <c r="G38" s="36">
        <f>'Mapa de Cotação - FWD, IRI, LVC'!$K$18</f>
        <v>23.49</v>
      </c>
      <c r="H38" s="37">
        <f t="shared" si="5"/>
        <v>50456.52</v>
      </c>
    </row>
    <row r="39" spans="1:14">
      <c r="A39" s="413"/>
      <c r="B39" s="47" t="s">
        <v>735</v>
      </c>
      <c r="C39" s="156" t="s">
        <v>32</v>
      </c>
      <c r="D39" s="168">
        <f>'Mapa de Cotação - FWD, IRI, LVC'!U7</f>
        <v>2148</v>
      </c>
      <c r="E39" s="50">
        <v>1</v>
      </c>
      <c r="F39" s="49">
        <f t="shared" si="4"/>
        <v>2148</v>
      </c>
      <c r="G39" s="36">
        <f>'Mapa de Cotação - FWD, IRI, LVC'!$K$19</f>
        <v>57.15</v>
      </c>
      <c r="H39" s="37">
        <f t="shared" si="5"/>
        <v>122758.2</v>
      </c>
    </row>
    <row r="40" spans="1:14">
      <c r="A40" s="413"/>
      <c r="B40" s="47" t="s">
        <v>475</v>
      </c>
      <c r="C40" s="156" t="s">
        <v>476</v>
      </c>
      <c r="D40" s="168">
        <f>'Mapa de Cotação - FWD, IRI, LVC'!V7</f>
        <v>35</v>
      </c>
      <c r="E40" s="50">
        <v>1</v>
      </c>
      <c r="F40" s="49">
        <f t="shared" si="4"/>
        <v>35</v>
      </c>
      <c r="G40" s="36">
        <f>'Mapa de Cotação - FWD, IRI, LVC'!$K$20</f>
        <v>295</v>
      </c>
      <c r="H40" s="37">
        <f t="shared" si="5"/>
        <v>10325</v>
      </c>
    </row>
    <row r="41" spans="1:14">
      <c r="A41" s="413"/>
      <c r="B41" s="44" t="s">
        <v>247</v>
      </c>
      <c r="C41" s="156" t="s">
        <v>402</v>
      </c>
      <c r="D41" s="49">
        <f>D14</f>
        <v>1</v>
      </c>
      <c r="E41" s="50">
        <v>1</v>
      </c>
      <c r="F41" s="49">
        <f t="shared" si="4"/>
        <v>1</v>
      </c>
      <c r="G41" s="36">
        <f>(('Tabela DNIT-Consult-BDI'!$H$5*66)+('Tabela DNIT-Consult-BDI'!$I$5*116.49))</f>
        <v>3213.6885000000002</v>
      </c>
      <c r="H41" s="37">
        <f>G41*F41</f>
        <v>3213.6885000000002</v>
      </c>
    </row>
    <row r="42" spans="1:14">
      <c r="A42" s="413"/>
      <c r="B42" s="44" t="s">
        <v>401</v>
      </c>
      <c r="C42" s="156" t="s">
        <v>33</v>
      </c>
      <c r="D42" s="50">
        <f>(E14+E15)*D14*8</f>
        <v>16</v>
      </c>
      <c r="E42" s="50">
        <v>1</v>
      </c>
      <c r="F42" s="49">
        <f t="shared" si="4"/>
        <v>16</v>
      </c>
      <c r="G42" s="52">
        <f>Diárias!$E$5</f>
        <v>364.43999999999994</v>
      </c>
      <c r="H42" s="37">
        <f>G42*F42</f>
        <v>5831.0399999999991</v>
      </c>
    </row>
    <row r="43" spans="1:14" ht="15.75" thickBot="1">
      <c r="A43" s="414"/>
      <c r="B43" s="346" t="s">
        <v>4</v>
      </c>
      <c r="C43" s="346"/>
      <c r="D43" s="346"/>
      <c r="E43" s="346"/>
      <c r="F43" s="346"/>
      <c r="G43" s="346"/>
      <c r="H43" s="42">
        <f>SUM(H37:H42)</f>
        <v>662996.44850000006</v>
      </c>
    </row>
    <row r="44" spans="1:14">
      <c r="A44" s="35"/>
      <c r="B44" s="415" t="s">
        <v>488</v>
      </c>
      <c r="C44" s="415"/>
      <c r="D44" s="415"/>
      <c r="E44" s="415"/>
      <c r="F44" s="415"/>
      <c r="G44" s="415"/>
      <c r="H44" s="415"/>
    </row>
    <row r="45" spans="1:14" ht="15.75" thickBot="1">
      <c r="A45" s="35"/>
    </row>
    <row r="46" spans="1:14" ht="21.75" thickBot="1">
      <c r="B46" s="396" t="s">
        <v>399</v>
      </c>
      <c r="C46" s="397"/>
      <c r="D46" s="397"/>
      <c r="E46" s="397"/>
      <c r="F46" s="398"/>
      <c r="H46" s="396" t="s">
        <v>427</v>
      </c>
      <c r="I46" s="397"/>
      <c r="J46" s="397"/>
      <c r="K46" s="397"/>
      <c r="L46" s="398"/>
      <c r="N46" s="30"/>
    </row>
    <row r="47" spans="1:14">
      <c r="B47" s="355" t="s">
        <v>1</v>
      </c>
      <c r="C47" s="356"/>
      <c r="D47" s="356"/>
      <c r="E47" s="356" t="s">
        <v>2</v>
      </c>
      <c r="F47" s="395"/>
      <c r="H47" s="355" t="s">
        <v>1</v>
      </c>
      <c r="I47" s="356"/>
      <c r="J47" s="356"/>
      <c r="K47" s="356" t="s">
        <v>2</v>
      </c>
      <c r="L47" s="395"/>
    </row>
    <row r="48" spans="1:14" ht="15.75" thickBot="1">
      <c r="B48" s="357"/>
      <c r="C48" s="358"/>
      <c r="D48" s="358"/>
      <c r="E48" s="53" t="s">
        <v>3</v>
      </c>
      <c r="F48" s="54" t="s">
        <v>4</v>
      </c>
      <c r="H48" s="357"/>
      <c r="I48" s="358"/>
      <c r="J48" s="358"/>
      <c r="K48" s="53" t="s">
        <v>3</v>
      </c>
      <c r="L48" s="54" t="s">
        <v>4</v>
      </c>
    </row>
    <row r="49" spans="2:14">
      <c r="B49" s="359" t="s">
        <v>398</v>
      </c>
      <c r="C49" s="360"/>
      <c r="D49" s="360"/>
      <c r="E49" s="360"/>
      <c r="F49" s="410">
        <f>SUM(E50:E51)</f>
        <v>23235.823972500002</v>
      </c>
      <c r="H49" s="359" t="s">
        <v>398</v>
      </c>
      <c r="I49" s="360"/>
      <c r="J49" s="360"/>
      <c r="K49" s="360"/>
      <c r="L49" s="410">
        <f>SUM(K50:K51)</f>
        <v>30981.098630000004</v>
      </c>
    </row>
    <row r="50" spans="2:14">
      <c r="B50" s="363" t="s">
        <v>5</v>
      </c>
      <c r="C50" s="378" t="s">
        <v>6</v>
      </c>
      <c r="D50" s="378"/>
      <c r="E50" s="83">
        <f>M6</f>
        <v>19211.5960725</v>
      </c>
      <c r="F50" s="411"/>
      <c r="H50" s="363" t="s">
        <v>5</v>
      </c>
      <c r="I50" s="378" t="s">
        <v>6</v>
      </c>
      <c r="J50" s="378"/>
      <c r="K50" s="83">
        <f>M10</f>
        <v>25615.461430000003</v>
      </c>
      <c r="L50" s="411"/>
      <c r="N50" s="30"/>
    </row>
    <row r="51" spans="2:14" ht="15.75" thickBot="1">
      <c r="B51" s="364"/>
      <c r="C51" s="378" t="s">
        <v>7</v>
      </c>
      <c r="D51" s="378"/>
      <c r="E51" s="83">
        <f>M7</f>
        <v>4024.2279000000008</v>
      </c>
      <c r="F51" s="412"/>
      <c r="H51" s="364"/>
      <c r="I51" s="378" t="s">
        <v>7</v>
      </c>
      <c r="J51" s="378"/>
      <c r="K51" s="83">
        <f>M11</f>
        <v>5365.637200000001</v>
      </c>
      <c r="L51" s="412"/>
    </row>
    <row r="52" spans="2:14">
      <c r="B52" s="352" t="s">
        <v>414</v>
      </c>
      <c r="C52" s="353"/>
      <c r="D52" s="353"/>
      <c r="E52" s="354"/>
      <c r="F52" s="371">
        <f>SUM(E53)</f>
        <v>2844.0648542340004</v>
      </c>
      <c r="H52" s="352" t="s">
        <v>414</v>
      </c>
      <c r="I52" s="353"/>
      <c r="J52" s="353"/>
      <c r="K52" s="354"/>
      <c r="L52" s="371">
        <f>SUM(K53)</f>
        <v>3792.0864723120008</v>
      </c>
    </row>
    <row r="53" spans="2:14" ht="15.75" thickBot="1">
      <c r="B53" s="55" t="s">
        <v>8</v>
      </c>
      <c r="C53" s="77">
        <f>'Tabela DNIT-Consult-BDI'!$I$27/100</f>
        <v>0.12240000000000001</v>
      </c>
      <c r="D53" s="58" t="s">
        <v>9</v>
      </c>
      <c r="E53" s="83">
        <f>F49*C53</f>
        <v>2844.0648542340004</v>
      </c>
      <c r="F53" s="368"/>
      <c r="H53" s="55" t="s">
        <v>8</v>
      </c>
      <c r="I53" s="77">
        <f>'Tabela DNIT-Consult-BDI'!$I$27/100</f>
        <v>0.12240000000000001</v>
      </c>
      <c r="J53" s="58" t="s">
        <v>9</v>
      </c>
      <c r="K53" s="83">
        <f>L49*I53</f>
        <v>3792.0864723120008</v>
      </c>
      <c r="L53" s="368"/>
    </row>
    <row r="54" spans="2:14">
      <c r="B54" s="352" t="s">
        <v>591</v>
      </c>
      <c r="C54" s="353"/>
      <c r="D54" s="353"/>
      <c r="E54" s="354"/>
      <c r="F54" s="371">
        <f>SUM(E55:E60)</f>
        <v>435457.02637500002</v>
      </c>
      <c r="H54" s="352" t="s">
        <v>591</v>
      </c>
      <c r="I54" s="353"/>
      <c r="J54" s="353"/>
      <c r="K54" s="354"/>
      <c r="L54" s="371">
        <f>SUM(K55:K60)</f>
        <v>568600.56850000005</v>
      </c>
    </row>
    <row r="55" spans="2:14">
      <c r="B55" s="375" t="s">
        <v>572</v>
      </c>
      <c r="C55" s="376"/>
      <c r="D55" s="377"/>
      <c r="E55" s="83">
        <f t="shared" ref="E55:E60" si="6">H21</f>
        <v>308133</v>
      </c>
      <c r="F55" s="372"/>
      <c r="H55" s="375" t="s">
        <v>572</v>
      </c>
      <c r="I55" s="376"/>
      <c r="J55" s="377"/>
      <c r="K55" s="83">
        <f t="shared" ref="K55:K60" si="7">H29</f>
        <v>400989</v>
      </c>
      <c r="L55" s="372"/>
    </row>
    <row r="56" spans="2:14">
      <c r="B56" s="375" t="s">
        <v>573</v>
      </c>
      <c r="C56" s="376"/>
      <c r="D56" s="377"/>
      <c r="E56" s="83">
        <f t="shared" si="6"/>
        <v>33050.43</v>
      </c>
      <c r="F56" s="372"/>
      <c r="H56" s="375" t="s">
        <v>573</v>
      </c>
      <c r="I56" s="376"/>
      <c r="J56" s="377"/>
      <c r="K56" s="83">
        <f t="shared" si="7"/>
        <v>43010.189999999995</v>
      </c>
      <c r="L56" s="372"/>
    </row>
    <row r="57" spans="2:14">
      <c r="B57" s="375" t="s">
        <v>736</v>
      </c>
      <c r="C57" s="376"/>
      <c r="D57" s="377"/>
      <c r="E57" s="83">
        <f t="shared" si="6"/>
        <v>80410.05</v>
      </c>
      <c r="F57" s="372"/>
      <c r="H57" s="375" t="s">
        <v>736</v>
      </c>
      <c r="I57" s="376"/>
      <c r="J57" s="377"/>
      <c r="K57" s="83">
        <f t="shared" si="7"/>
        <v>104641.65</v>
      </c>
      <c r="L57" s="372"/>
    </row>
    <row r="58" spans="2:14">
      <c r="B58" s="375" t="s">
        <v>574</v>
      </c>
      <c r="C58" s="376"/>
      <c r="D58" s="377"/>
      <c r="E58" s="83">
        <f t="shared" si="6"/>
        <v>7080</v>
      </c>
      <c r="F58" s="372"/>
      <c r="H58" s="375" t="s">
        <v>574</v>
      </c>
      <c r="I58" s="376"/>
      <c r="J58" s="377"/>
      <c r="K58" s="83">
        <f t="shared" si="7"/>
        <v>10915</v>
      </c>
      <c r="L58" s="372"/>
    </row>
    <row r="59" spans="2:14">
      <c r="B59" s="373" t="s">
        <v>575</v>
      </c>
      <c r="C59" s="374"/>
      <c r="D59" s="374"/>
      <c r="E59" s="83">
        <f t="shared" si="6"/>
        <v>2410.2663750000002</v>
      </c>
      <c r="F59" s="372"/>
      <c r="H59" s="373" t="s">
        <v>575</v>
      </c>
      <c r="I59" s="374"/>
      <c r="J59" s="374"/>
      <c r="K59" s="83">
        <f t="shared" si="7"/>
        <v>3213.6885000000002</v>
      </c>
      <c r="L59" s="372"/>
    </row>
    <row r="60" spans="2:14" ht="15.75" thickBot="1">
      <c r="B60" s="375" t="s">
        <v>576</v>
      </c>
      <c r="C60" s="376"/>
      <c r="D60" s="377"/>
      <c r="E60" s="83">
        <f t="shared" si="6"/>
        <v>4373.2799999999988</v>
      </c>
      <c r="F60" s="368"/>
      <c r="H60" s="375" t="s">
        <v>576</v>
      </c>
      <c r="I60" s="376"/>
      <c r="J60" s="377"/>
      <c r="K60" s="83">
        <f t="shared" si="7"/>
        <v>5831.0399999999991</v>
      </c>
      <c r="L60" s="368"/>
    </row>
    <row r="61" spans="2:14">
      <c r="B61" s="347" t="s">
        <v>10</v>
      </c>
      <c r="C61" s="348"/>
      <c r="D61" s="349"/>
      <c r="E61" s="57" t="s">
        <v>417</v>
      </c>
      <c r="F61" s="75">
        <f>F54+F52+F49</f>
        <v>461536.91520173399</v>
      </c>
      <c r="H61" s="347" t="s">
        <v>10</v>
      </c>
      <c r="I61" s="348"/>
      <c r="J61" s="349"/>
      <c r="K61" s="57" t="s">
        <v>417</v>
      </c>
      <c r="L61" s="75">
        <f>L54+L52+L49</f>
        <v>603373.75360231206</v>
      </c>
    </row>
    <row r="62" spans="2:14">
      <c r="B62" s="350" t="s">
        <v>11</v>
      </c>
      <c r="C62" s="351"/>
      <c r="D62" s="351"/>
      <c r="E62" s="400"/>
      <c r="F62" s="362">
        <f>D63*F61</f>
        <v>55384.429824208077</v>
      </c>
      <c r="H62" s="350" t="s">
        <v>11</v>
      </c>
      <c r="I62" s="351"/>
      <c r="J62" s="351"/>
      <c r="K62" s="400"/>
      <c r="L62" s="362">
        <f>J63*L61</f>
        <v>72404.850432277439</v>
      </c>
    </row>
    <row r="63" spans="2:14">
      <c r="B63" s="365" t="s">
        <v>8</v>
      </c>
      <c r="C63" s="366"/>
      <c r="D63" s="77">
        <f>'Tabela DNIT-Consult-BDI'!$I$30/100</f>
        <v>0.12</v>
      </c>
      <c r="E63" s="49" t="s">
        <v>12</v>
      </c>
      <c r="F63" s="362"/>
      <c r="H63" s="365" t="s">
        <v>8</v>
      </c>
      <c r="I63" s="366"/>
      <c r="J63" s="77">
        <f>'Tabela DNIT-Consult-BDI'!$I$30/100</f>
        <v>0.12</v>
      </c>
      <c r="K63" s="49" t="s">
        <v>12</v>
      </c>
      <c r="L63" s="362"/>
    </row>
    <row r="64" spans="2:14">
      <c r="B64" s="350" t="s">
        <v>13</v>
      </c>
      <c r="C64" s="351"/>
      <c r="D64" s="351"/>
      <c r="E64" s="400"/>
      <c r="F64" s="367">
        <f>D65*(F61+F62)</f>
        <v>106692.56561335444</v>
      </c>
      <c r="H64" s="350" t="s">
        <v>13</v>
      </c>
      <c r="I64" s="351"/>
      <c r="J64" s="351"/>
      <c r="K64" s="400"/>
      <c r="L64" s="367">
        <f>J65*(L61+L62)</f>
        <v>139480.70387273928</v>
      </c>
    </row>
    <row r="65" spans="2:12" ht="15.75" thickBot="1">
      <c r="B65" s="401" t="s">
        <v>8</v>
      </c>
      <c r="C65" s="402"/>
      <c r="D65" s="137">
        <f>'Tabela DNIT-Consult-BDI'!$I$35/100</f>
        <v>0.2064</v>
      </c>
      <c r="E65" s="138" t="s">
        <v>14</v>
      </c>
      <c r="F65" s="372"/>
      <c r="H65" s="401" t="s">
        <v>8</v>
      </c>
      <c r="I65" s="402"/>
      <c r="J65" s="137">
        <f>'Tabela DNIT-Consult-BDI'!$I$35/100</f>
        <v>0.2064</v>
      </c>
      <c r="K65" s="138" t="s">
        <v>14</v>
      </c>
      <c r="L65" s="372"/>
    </row>
    <row r="66" spans="2:12">
      <c r="B66" s="347" t="s">
        <v>588</v>
      </c>
      <c r="C66" s="348"/>
      <c r="D66" s="348"/>
      <c r="E66" s="349"/>
      <c r="F66" s="371">
        <f>E67</f>
        <v>17276.326367213387</v>
      </c>
      <c r="H66" s="347" t="s">
        <v>588</v>
      </c>
      <c r="I66" s="348"/>
      <c r="J66" s="348"/>
      <c r="K66" s="349"/>
      <c r="L66" s="371">
        <f>K67</f>
        <v>18098.72801715885</v>
      </c>
    </row>
    <row r="67" spans="2:12" ht="15.75" thickBot="1">
      <c r="B67" s="403" t="s">
        <v>586</v>
      </c>
      <c r="C67" s="404"/>
      <c r="D67" s="405"/>
      <c r="E67" s="139">
        <f>'CPU_Eq. Coord.'!F74</f>
        <v>17276.326367213387</v>
      </c>
      <c r="F67" s="368"/>
      <c r="H67" s="403" t="s">
        <v>586</v>
      </c>
      <c r="I67" s="404"/>
      <c r="J67" s="405"/>
      <c r="K67" s="139">
        <f>'CPU_Eq. Coord.'!L74</f>
        <v>18098.72801715885</v>
      </c>
      <c r="L67" s="368"/>
    </row>
    <row r="68" spans="2:12" ht="15.75" thickBot="1">
      <c r="B68" s="337" t="s">
        <v>592</v>
      </c>
      <c r="C68" s="338"/>
      <c r="D68" s="339"/>
      <c r="E68" s="59" t="s">
        <v>587</v>
      </c>
      <c r="F68" s="82">
        <f>F61+F62+F64+F66</f>
        <v>640890.23700650991</v>
      </c>
      <c r="H68" s="337" t="s">
        <v>592</v>
      </c>
      <c r="I68" s="338"/>
      <c r="J68" s="339"/>
      <c r="K68" s="62" t="s">
        <v>15</v>
      </c>
      <c r="L68" s="76">
        <f>L61+L62+L64+L66</f>
        <v>833358.03592448751</v>
      </c>
    </row>
    <row r="70" spans="2:12" ht="15.75" thickBot="1"/>
    <row r="71" spans="2:12" ht="21.75" thickBot="1">
      <c r="B71" s="396" t="s">
        <v>644</v>
      </c>
      <c r="C71" s="397"/>
      <c r="D71" s="397"/>
      <c r="E71" s="397"/>
      <c r="F71" s="398"/>
    </row>
    <row r="72" spans="2:12">
      <c r="B72" s="355" t="s">
        <v>1</v>
      </c>
      <c r="C72" s="356"/>
      <c r="D72" s="356"/>
      <c r="E72" s="356" t="s">
        <v>2</v>
      </c>
      <c r="F72" s="395"/>
    </row>
    <row r="73" spans="2:12" ht="15.75" thickBot="1">
      <c r="B73" s="357"/>
      <c r="C73" s="358"/>
      <c r="D73" s="358"/>
      <c r="E73" s="153" t="s">
        <v>3</v>
      </c>
      <c r="F73" s="54" t="s">
        <v>4</v>
      </c>
    </row>
    <row r="74" spans="2:12">
      <c r="B74" s="359" t="s">
        <v>398</v>
      </c>
      <c r="C74" s="360"/>
      <c r="D74" s="360"/>
      <c r="E74" s="360"/>
      <c r="F74" s="410">
        <f>SUM(E75:E76)</f>
        <v>30981.098630000004</v>
      </c>
    </row>
    <row r="75" spans="2:12">
      <c r="B75" s="363" t="s">
        <v>5</v>
      </c>
      <c r="C75" s="378" t="s">
        <v>6</v>
      </c>
      <c r="D75" s="378"/>
      <c r="E75" s="83">
        <f>M14</f>
        <v>25615.461430000003</v>
      </c>
      <c r="F75" s="411"/>
    </row>
    <row r="76" spans="2:12" ht="15.75" thickBot="1">
      <c r="B76" s="364"/>
      <c r="C76" s="378" t="s">
        <v>7</v>
      </c>
      <c r="D76" s="378"/>
      <c r="E76" s="83">
        <f>M15</f>
        <v>5365.637200000001</v>
      </c>
      <c r="F76" s="412"/>
    </row>
    <row r="77" spans="2:12">
      <c r="B77" s="352" t="s">
        <v>414</v>
      </c>
      <c r="C77" s="353"/>
      <c r="D77" s="353"/>
      <c r="E77" s="354"/>
      <c r="F77" s="371">
        <f>SUM(E78)</f>
        <v>3792.0864723120008</v>
      </c>
    </row>
    <row r="78" spans="2:12" ht="15.75" thickBot="1">
      <c r="B78" s="55" t="s">
        <v>8</v>
      </c>
      <c r="C78" s="77">
        <f>'Tabela DNIT-Consult-BDI'!$I$27/100</f>
        <v>0.12240000000000001</v>
      </c>
      <c r="D78" s="58" t="s">
        <v>9</v>
      </c>
      <c r="E78" s="83">
        <f>F74*C78</f>
        <v>3792.0864723120008</v>
      </c>
      <c r="F78" s="368"/>
    </row>
    <row r="79" spans="2:12">
      <c r="B79" s="352" t="s">
        <v>591</v>
      </c>
      <c r="C79" s="353"/>
      <c r="D79" s="353"/>
      <c r="E79" s="354"/>
      <c r="F79" s="371">
        <f>SUM(E80:E85)</f>
        <v>662996.44850000006</v>
      </c>
    </row>
    <row r="80" spans="2:12">
      <c r="B80" s="375" t="s">
        <v>572</v>
      </c>
      <c r="C80" s="376"/>
      <c r="D80" s="377"/>
      <c r="E80" s="83">
        <f t="shared" ref="E80:E85" si="8">H37</f>
        <v>470412</v>
      </c>
      <c r="F80" s="372"/>
    </row>
    <row r="81" spans="2:6">
      <c r="B81" s="375" t="s">
        <v>573</v>
      </c>
      <c r="C81" s="376"/>
      <c r="D81" s="377"/>
      <c r="E81" s="83">
        <f t="shared" si="8"/>
        <v>50456.52</v>
      </c>
      <c r="F81" s="372"/>
    </row>
    <row r="82" spans="2:6">
      <c r="B82" s="375" t="s">
        <v>736</v>
      </c>
      <c r="C82" s="376"/>
      <c r="D82" s="377"/>
      <c r="E82" s="83">
        <f t="shared" si="8"/>
        <v>122758.2</v>
      </c>
      <c r="F82" s="372"/>
    </row>
    <row r="83" spans="2:6">
      <c r="B83" s="375" t="s">
        <v>574</v>
      </c>
      <c r="C83" s="376"/>
      <c r="D83" s="377"/>
      <c r="E83" s="83">
        <f t="shared" si="8"/>
        <v>10325</v>
      </c>
      <c r="F83" s="372"/>
    </row>
    <row r="84" spans="2:6">
      <c r="B84" s="373" t="s">
        <v>575</v>
      </c>
      <c r="C84" s="374"/>
      <c r="D84" s="374"/>
      <c r="E84" s="83">
        <f t="shared" si="8"/>
        <v>3213.6885000000002</v>
      </c>
      <c r="F84" s="372"/>
    </row>
    <row r="85" spans="2:6" ht="15.75" thickBot="1">
      <c r="B85" s="375" t="s">
        <v>576</v>
      </c>
      <c r="C85" s="376"/>
      <c r="D85" s="377"/>
      <c r="E85" s="83">
        <f t="shared" si="8"/>
        <v>5831.0399999999991</v>
      </c>
      <c r="F85" s="368"/>
    </row>
    <row r="86" spans="2:6">
      <c r="B86" s="347" t="s">
        <v>10</v>
      </c>
      <c r="C86" s="348"/>
      <c r="D86" s="349"/>
      <c r="E86" s="152" t="s">
        <v>417</v>
      </c>
      <c r="F86" s="154">
        <f>F79+F77+F74</f>
        <v>697769.63360231207</v>
      </c>
    </row>
    <row r="87" spans="2:6">
      <c r="B87" s="350" t="s">
        <v>11</v>
      </c>
      <c r="C87" s="351"/>
      <c r="D87" s="351"/>
      <c r="E87" s="400"/>
      <c r="F87" s="362">
        <f>D88*F86</f>
        <v>83732.356032277443</v>
      </c>
    </row>
    <row r="88" spans="2:6">
      <c r="B88" s="365" t="s">
        <v>8</v>
      </c>
      <c r="C88" s="366"/>
      <c r="D88" s="77">
        <f>'Tabela DNIT-Consult-BDI'!$I$30/100</f>
        <v>0.12</v>
      </c>
      <c r="E88" s="49" t="s">
        <v>12</v>
      </c>
      <c r="F88" s="362"/>
    </row>
    <row r="89" spans="2:6">
      <c r="B89" s="350" t="s">
        <v>13</v>
      </c>
      <c r="C89" s="351"/>
      <c r="D89" s="351"/>
      <c r="E89" s="400"/>
      <c r="F89" s="367">
        <f>D90*(F86+F87)</f>
        <v>161302.01066057928</v>
      </c>
    </row>
    <row r="90" spans="2:6" ht="15.75" thickBot="1">
      <c r="B90" s="401" t="s">
        <v>8</v>
      </c>
      <c r="C90" s="402"/>
      <c r="D90" s="137">
        <f>'Tabela DNIT-Consult-BDI'!$I$35/100</f>
        <v>0.2064</v>
      </c>
      <c r="E90" s="138" t="s">
        <v>14</v>
      </c>
      <c r="F90" s="372"/>
    </row>
    <row r="91" spans="2:6">
      <c r="B91" s="347" t="s">
        <v>588</v>
      </c>
      <c r="C91" s="348"/>
      <c r="D91" s="348"/>
      <c r="E91" s="349"/>
      <c r="F91" s="371">
        <f>E92</f>
        <v>37229.994031824783</v>
      </c>
    </row>
    <row r="92" spans="2:6" ht="15.75" thickBot="1">
      <c r="B92" s="403" t="s">
        <v>586</v>
      </c>
      <c r="C92" s="404"/>
      <c r="D92" s="405"/>
      <c r="E92" s="139">
        <f>'CPU_Eq. Coord.'!R74</f>
        <v>37229.994031824783</v>
      </c>
      <c r="F92" s="368"/>
    </row>
    <row r="93" spans="2:6" ht="15.75" thickBot="1">
      <c r="B93" s="337" t="s">
        <v>592</v>
      </c>
      <c r="C93" s="338"/>
      <c r="D93" s="339"/>
      <c r="E93" s="62" t="s">
        <v>15</v>
      </c>
      <c r="F93" s="76">
        <f>F86+F87+F89+F91</f>
        <v>980033.99432699359</v>
      </c>
    </row>
  </sheetData>
  <mergeCells count="109">
    <mergeCell ref="A1:M1"/>
    <mergeCell ref="A2:M2"/>
    <mergeCell ref="A3:M3"/>
    <mergeCell ref="A5:A16"/>
    <mergeCell ref="F62:F63"/>
    <mergeCell ref="B63:C63"/>
    <mergeCell ref="B46:F46"/>
    <mergeCell ref="B47:D48"/>
    <mergeCell ref="E47:F47"/>
    <mergeCell ref="B49:E49"/>
    <mergeCell ref="F49:F51"/>
    <mergeCell ref="B50:B51"/>
    <mergeCell ref="C50:D50"/>
    <mergeCell ref="C51:D51"/>
    <mergeCell ref="B20:H20"/>
    <mergeCell ref="B28:H28"/>
    <mergeCell ref="B44:H44"/>
    <mergeCell ref="B62:E62"/>
    <mergeCell ref="B61:D61"/>
    <mergeCell ref="H62:K62"/>
    <mergeCell ref="H61:J61"/>
    <mergeCell ref="H46:L46"/>
    <mergeCell ref="B5:M5"/>
    <mergeCell ref="B8:H8"/>
    <mergeCell ref="B9:M9"/>
    <mergeCell ref="D6:D7"/>
    <mergeCell ref="D10:D11"/>
    <mergeCell ref="B35:G35"/>
    <mergeCell ref="B36:H36"/>
    <mergeCell ref="B43:G43"/>
    <mergeCell ref="B12:H12"/>
    <mergeCell ref="B13:M13"/>
    <mergeCell ref="D14:D15"/>
    <mergeCell ref="B16:H16"/>
    <mergeCell ref="A18:H18"/>
    <mergeCell ref="A20:A43"/>
    <mergeCell ref="B27:G27"/>
    <mergeCell ref="H47:J48"/>
    <mergeCell ref="K47:L47"/>
    <mergeCell ref="L62:L63"/>
    <mergeCell ref="H63:I63"/>
    <mergeCell ref="L64:L65"/>
    <mergeCell ref="H65:I65"/>
    <mergeCell ref="H68:J68"/>
    <mergeCell ref="H66:K66"/>
    <mergeCell ref="L66:L67"/>
    <mergeCell ref="H67:J67"/>
    <mergeCell ref="I51:J51"/>
    <mergeCell ref="H52:K52"/>
    <mergeCell ref="L52:L53"/>
    <mergeCell ref="H54:K54"/>
    <mergeCell ref="L54:L60"/>
    <mergeCell ref="H59:J59"/>
    <mergeCell ref="H60:J60"/>
    <mergeCell ref="H55:J55"/>
    <mergeCell ref="H56:J56"/>
    <mergeCell ref="H57:J57"/>
    <mergeCell ref="H58:J58"/>
    <mergeCell ref="H64:K64"/>
    <mergeCell ref="L49:L51"/>
    <mergeCell ref="H50:H51"/>
    <mergeCell ref="I50:J50"/>
    <mergeCell ref="H49:K49"/>
    <mergeCell ref="B71:F71"/>
    <mergeCell ref="B72:D73"/>
    <mergeCell ref="E72:F72"/>
    <mergeCell ref="B74:E74"/>
    <mergeCell ref="F74:F76"/>
    <mergeCell ref="B75:B76"/>
    <mergeCell ref="C75:D75"/>
    <mergeCell ref="C76:D76"/>
    <mergeCell ref="B68:D68"/>
    <mergeCell ref="B52:E52"/>
    <mergeCell ref="F52:F53"/>
    <mergeCell ref="B54:E54"/>
    <mergeCell ref="F54:F60"/>
    <mergeCell ref="B59:D59"/>
    <mergeCell ref="B60:D60"/>
    <mergeCell ref="B55:D55"/>
    <mergeCell ref="B56:D56"/>
    <mergeCell ref="B57:D57"/>
    <mergeCell ref="B58:D58"/>
    <mergeCell ref="B66:E66"/>
    <mergeCell ref="F66:F67"/>
    <mergeCell ref="B67:D67"/>
    <mergeCell ref="B64:E64"/>
    <mergeCell ref="B77:E77"/>
    <mergeCell ref="F77:F78"/>
    <mergeCell ref="B79:E79"/>
    <mergeCell ref="F79:F85"/>
    <mergeCell ref="B80:D80"/>
    <mergeCell ref="B81:D81"/>
    <mergeCell ref="B82:D82"/>
    <mergeCell ref="B83:D83"/>
    <mergeCell ref="B84:D84"/>
    <mergeCell ref="B85:D85"/>
    <mergeCell ref="F64:F65"/>
    <mergeCell ref="B65:C65"/>
    <mergeCell ref="B91:E91"/>
    <mergeCell ref="F91:F92"/>
    <mergeCell ref="B92:D92"/>
    <mergeCell ref="B93:D93"/>
    <mergeCell ref="B86:D86"/>
    <mergeCell ref="B87:E87"/>
    <mergeCell ref="F87:F88"/>
    <mergeCell ref="B88:C88"/>
    <mergeCell ref="B89:E89"/>
    <mergeCell ref="F89:F90"/>
    <mergeCell ref="B90:C90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AB2DE2-438C-4D11-A9EB-B749BCE7E643}">
  <sheetPr>
    <tabColor theme="9"/>
  </sheetPr>
  <dimension ref="A1:N78"/>
  <sheetViews>
    <sheetView zoomScale="80" zoomScaleNormal="80" workbookViewId="0">
      <selection activeCell="B32" sqref="B32"/>
    </sheetView>
  </sheetViews>
  <sheetFormatPr defaultRowHeight="15"/>
  <cols>
    <col min="1" max="1" width="8.85546875" style="27" customWidth="1"/>
    <col min="2" max="2" width="50.140625" style="27" customWidth="1"/>
    <col min="3" max="3" width="19" style="27" customWidth="1"/>
    <col min="4" max="4" width="19.7109375" style="27" customWidth="1"/>
    <col min="5" max="5" width="17.42578125" style="27" customWidth="1"/>
    <col min="6" max="7" width="15.42578125" style="27" customWidth="1"/>
    <col min="8" max="8" width="15" style="27" customWidth="1"/>
    <col min="9" max="9" width="21.85546875" style="27" customWidth="1"/>
    <col min="10" max="10" width="22.42578125" style="27" customWidth="1"/>
    <col min="11" max="11" width="20.42578125" style="27" customWidth="1"/>
    <col min="12" max="12" width="20.28515625" style="27" customWidth="1"/>
    <col min="13" max="13" width="18.5703125" style="27" customWidth="1"/>
    <col min="14" max="14" width="9.140625" style="27"/>
    <col min="15" max="15" width="16.42578125" style="27" customWidth="1"/>
    <col min="16" max="16" width="23.5703125" style="27" customWidth="1"/>
    <col min="17" max="17" width="25.140625" style="27" customWidth="1"/>
    <col min="18" max="18" width="29" style="27" customWidth="1"/>
    <col min="19" max="19" width="19.7109375" style="27" customWidth="1"/>
    <col min="20" max="16384" width="9.140625" style="27"/>
  </cols>
  <sheetData>
    <row r="1" spans="1:13" ht="30.75" customHeight="1">
      <c r="A1" s="384" t="s">
        <v>396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</row>
    <row r="2" spans="1:13" ht="28.5" customHeight="1" thickBot="1">
      <c r="A2" s="409" t="s">
        <v>657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</row>
    <row r="3" spans="1:13">
      <c r="A3" s="386" t="s">
        <v>397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8"/>
    </row>
    <row r="4" spans="1:13" s="32" customFormat="1" ht="60">
      <c r="A4" s="155" t="s">
        <v>378</v>
      </c>
      <c r="B4" s="68" t="s">
        <v>306</v>
      </c>
      <c r="C4" s="68" t="s">
        <v>307</v>
      </c>
      <c r="D4" s="68" t="s">
        <v>377</v>
      </c>
      <c r="E4" s="68" t="s">
        <v>308</v>
      </c>
      <c r="F4" s="68" t="s">
        <v>309</v>
      </c>
      <c r="G4" s="68" t="s">
        <v>758</v>
      </c>
      <c r="H4" s="68" t="s">
        <v>310</v>
      </c>
      <c r="I4" s="68" t="s">
        <v>311</v>
      </c>
      <c r="J4" s="68" t="s">
        <v>312</v>
      </c>
      <c r="K4" s="68" t="s">
        <v>319</v>
      </c>
      <c r="L4" s="68" t="s">
        <v>320</v>
      </c>
      <c r="M4" s="72" t="s">
        <v>321</v>
      </c>
    </row>
    <row r="5" spans="1:13" ht="17.25">
      <c r="A5" s="389" t="s">
        <v>489</v>
      </c>
      <c r="B5" s="340" t="s">
        <v>315</v>
      </c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1"/>
    </row>
    <row r="6" spans="1:13" s="33" customFormat="1" ht="17.25">
      <c r="A6" s="389"/>
      <c r="B6" s="71" t="s">
        <v>34</v>
      </c>
      <c r="C6" s="156" t="s">
        <v>35</v>
      </c>
      <c r="D6" s="342">
        <v>1</v>
      </c>
      <c r="E6" s="156">
        <v>1</v>
      </c>
      <c r="F6" s="50">
        <f t="shared" ref="F6:F7" si="0">15/30</f>
        <v>0.5</v>
      </c>
      <c r="G6" s="50">
        <f>D6*E6*F6*176</f>
        <v>88</v>
      </c>
      <c r="H6" s="36">
        <f>VLOOKUP(C6,'Tabela DNIT-Consult-MO'!$A:$D,4,FALSE)</f>
        <v>10864.39</v>
      </c>
      <c r="I6" s="36">
        <f>F6*H6*$D$6*E6</f>
        <v>5432.1949999999997</v>
      </c>
      <c r="J6" s="70">
        <f>VLOOKUP(C6,'Tabela DNIT-Consult-MO'!$A:$F,5,FALSE)</f>
        <v>0.80049999999999999</v>
      </c>
      <c r="K6" s="36">
        <f>H6*J6</f>
        <v>8696.944195</v>
      </c>
      <c r="L6" s="36">
        <f>I6*J6</f>
        <v>4348.4720975</v>
      </c>
      <c r="M6" s="37">
        <f>I6+L6</f>
        <v>9780.6670974999997</v>
      </c>
    </row>
    <row r="7" spans="1:13">
      <c r="A7" s="389"/>
      <c r="B7" s="69" t="s">
        <v>28</v>
      </c>
      <c r="C7" s="156" t="s">
        <v>29</v>
      </c>
      <c r="D7" s="342"/>
      <c r="E7" s="156">
        <v>1</v>
      </c>
      <c r="F7" s="50">
        <f t="shared" si="0"/>
        <v>0.5</v>
      </c>
      <c r="G7" s="50">
        <f>D6*E7*F7*176</f>
        <v>88</v>
      </c>
      <c r="H7" s="36">
        <f>VLOOKUP(C7,'Tabela DNIT-Consult-MO'!$A:$D,4,FALSE)</f>
        <v>2974.3</v>
      </c>
      <c r="I7" s="36">
        <f>F7*H7*$D$6*E7</f>
        <v>1487.15</v>
      </c>
      <c r="J7" s="70">
        <f>VLOOKUP(C7,'Tabela DNIT-Consult-MO'!$A:$F,5,FALSE)</f>
        <v>0.80400000000000005</v>
      </c>
      <c r="K7" s="36">
        <f>H7*J7</f>
        <v>2391.3372000000004</v>
      </c>
      <c r="L7" s="36">
        <f>I7*J7</f>
        <v>1195.6686000000002</v>
      </c>
      <c r="M7" s="37">
        <f>I7+L7</f>
        <v>2682.8186000000005</v>
      </c>
    </row>
    <row r="8" spans="1:13">
      <c r="A8" s="389"/>
      <c r="B8" s="343" t="s">
        <v>4</v>
      </c>
      <c r="C8" s="343"/>
      <c r="D8" s="343"/>
      <c r="E8" s="343"/>
      <c r="F8" s="343"/>
      <c r="G8" s="343"/>
      <c r="H8" s="343"/>
      <c r="I8" s="51">
        <f>SUM(I6:I7)</f>
        <v>6919.3449999999993</v>
      </c>
      <c r="J8" s="44"/>
      <c r="K8" s="44"/>
      <c r="L8" s="44"/>
      <c r="M8" s="41">
        <f>SUM(M6:M7)</f>
        <v>12463.4856975</v>
      </c>
    </row>
    <row r="9" spans="1:13" ht="17.25">
      <c r="A9" s="389"/>
      <c r="B9" s="340" t="s">
        <v>434</v>
      </c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1"/>
    </row>
    <row r="10" spans="1:13">
      <c r="A10" s="389"/>
      <c r="B10" s="71" t="s">
        <v>34</v>
      </c>
      <c r="C10" s="156" t="s">
        <v>35</v>
      </c>
      <c r="D10" s="342">
        <v>1</v>
      </c>
      <c r="E10" s="156">
        <v>1</v>
      </c>
      <c r="F10" s="50">
        <f>22.5/30</f>
        <v>0.75</v>
      </c>
      <c r="G10" s="50">
        <f>D10*E10*F10*176</f>
        <v>132</v>
      </c>
      <c r="H10" s="36">
        <f>VLOOKUP(C10,'Tabela DNIT-Consult-MO'!$A:$D,4,FALSE)</f>
        <v>10864.39</v>
      </c>
      <c r="I10" s="36">
        <f>F10*H10*$D$10*E10</f>
        <v>8148.2924999999996</v>
      </c>
      <c r="J10" s="70">
        <f>VLOOKUP(C10,'Tabela DNIT-Consult-MO'!$A:$F,5,FALSE)</f>
        <v>0.80049999999999999</v>
      </c>
      <c r="K10" s="36">
        <f>H10*J10</f>
        <v>8696.944195</v>
      </c>
      <c r="L10" s="36">
        <f>I10*J10</f>
        <v>6522.7081462499991</v>
      </c>
      <c r="M10" s="37">
        <f>I10+L10</f>
        <v>14671.000646249999</v>
      </c>
    </row>
    <row r="11" spans="1:13">
      <c r="A11" s="389"/>
      <c r="B11" s="69" t="s">
        <v>28</v>
      </c>
      <c r="C11" s="156" t="s">
        <v>29</v>
      </c>
      <c r="D11" s="342"/>
      <c r="E11" s="156">
        <v>1</v>
      </c>
      <c r="F11" s="50">
        <f>22.5/30</f>
        <v>0.75</v>
      </c>
      <c r="G11" s="50">
        <f>D10*E11*F11*176</f>
        <v>132</v>
      </c>
      <c r="H11" s="36">
        <f>VLOOKUP(C11,'Tabela DNIT-Consult-MO'!$A:$D,4,FALSE)</f>
        <v>2974.3</v>
      </c>
      <c r="I11" s="36">
        <f>F11*H11*$D$10*E11</f>
        <v>2230.7250000000004</v>
      </c>
      <c r="J11" s="70">
        <f>VLOOKUP(C11,'Tabela DNIT-Consult-MO'!$A:$F,5,FALSE)</f>
        <v>0.80400000000000005</v>
      </c>
      <c r="K11" s="36">
        <f>H11*J11</f>
        <v>2391.3372000000004</v>
      </c>
      <c r="L11" s="36">
        <f>I11*J11</f>
        <v>1793.5029000000004</v>
      </c>
      <c r="M11" s="37">
        <f>I11+L11</f>
        <v>4024.2279000000008</v>
      </c>
    </row>
    <row r="12" spans="1:13">
      <c r="A12" s="389"/>
      <c r="B12" s="343" t="s">
        <v>4</v>
      </c>
      <c r="C12" s="343"/>
      <c r="D12" s="343"/>
      <c r="E12" s="343"/>
      <c r="F12" s="343"/>
      <c r="G12" s="343"/>
      <c r="H12" s="343"/>
      <c r="I12" s="51">
        <f>SUM(I10:I11)</f>
        <v>10379.0175</v>
      </c>
      <c r="J12" s="44"/>
      <c r="K12" s="44"/>
      <c r="L12" s="44"/>
      <c r="M12" s="41">
        <f>SUM(M10:M11)</f>
        <v>18695.22854625</v>
      </c>
    </row>
    <row r="13" spans="1:13" ht="17.25">
      <c r="A13" s="389"/>
      <c r="B13" s="340" t="s">
        <v>645</v>
      </c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1"/>
    </row>
    <row r="14" spans="1:13">
      <c r="A14" s="389"/>
      <c r="B14" s="71" t="s">
        <v>34</v>
      </c>
      <c r="C14" s="156" t="s">
        <v>35</v>
      </c>
      <c r="D14" s="342">
        <v>1</v>
      </c>
      <c r="E14" s="156">
        <v>1</v>
      </c>
      <c r="F14" s="50">
        <f>21/30</f>
        <v>0.7</v>
      </c>
      <c r="G14" s="50">
        <f>D14*E14*F14*176</f>
        <v>123.19999999999999</v>
      </c>
      <c r="H14" s="36">
        <f>VLOOKUP(C14,'Tabela DNIT-Consult-MO'!$A:$D,4,FALSE)</f>
        <v>10864.39</v>
      </c>
      <c r="I14" s="36">
        <f>F14*H14*$D$14*E14</f>
        <v>7605.0729999999994</v>
      </c>
      <c r="J14" s="70">
        <f>VLOOKUP(C14,'Tabela DNIT-Consult-MO'!$A:$F,5,FALSE)</f>
        <v>0.80049999999999999</v>
      </c>
      <c r="K14" s="36">
        <f>H14*J14</f>
        <v>8696.944195</v>
      </c>
      <c r="L14" s="36">
        <f>I14*J14</f>
        <v>6087.8609364999993</v>
      </c>
      <c r="M14" s="37">
        <f>I14+L14</f>
        <v>13692.933936499998</v>
      </c>
    </row>
    <row r="15" spans="1:13">
      <c r="A15" s="389"/>
      <c r="B15" s="69" t="s">
        <v>28</v>
      </c>
      <c r="C15" s="156" t="s">
        <v>29</v>
      </c>
      <c r="D15" s="342"/>
      <c r="E15" s="156">
        <v>1</v>
      </c>
      <c r="F15" s="50">
        <f>21/30</f>
        <v>0.7</v>
      </c>
      <c r="G15" s="50">
        <f>D14*E15*F15*176</f>
        <v>123.19999999999999</v>
      </c>
      <c r="H15" s="36">
        <f>VLOOKUP(C15,'Tabela DNIT-Consult-MO'!$A:$D,4,FALSE)</f>
        <v>2974.3</v>
      </c>
      <c r="I15" s="36">
        <f>F15*H15*$D$14*E15</f>
        <v>2082.0100000000002</v>
      </c>
      <c r="J15" s="70">
        <f>VLOOKUP(C15,'Tabela DNIT-Consult-MO'!$A:$F,5,FALSE)</f>
        <v>0.80400000000000005</v>
      </c>
      <c r="K15" s="36">
        <f>H15*J15</f>
        <v>2391.3372000000004</v>
      </c>
      <c r="L15" s="36">
        <f>I15*J15</f>
        <v>1673.9360400000003</v>
      </c>
      <c r="M15" s="37">
        <f>I15+L15</f>
        <v>3755.9460400000007</v>
      </c>
    </row>
    <row r="16" spans="1:13" ht="15.75" thickBot="1">
      <c r="A16" s="390"/>
      <c r="B16" s="346" t="s">
        <v>4</v>
      </c>
      <c r="C16" s="346"/>
      <c r="D16" s="346"/>
      <c r="E16" s="346"/>
      <c r="F16" s="346"/>
      <c r="G16" s="346"/>
      <c r="H16" s="346"/>
      <c r="I16" s="73">
        <f>SUM(I14:I15)</f>
        <v>9687.0829999999987</v>
      </c>
      <c r="J16" s="74"/>
      <c r="K16" s="74"/>
      <c r="L16" s="74"/>
      <c r="M16" s="42">
        <f>SUM(M14:M15)</f>
        <v>17448.8799765</v>
      </c>
    </row>
    <row r="17" spans="1:13" ht="15.75" thickBot="1">
      <c r="A17" s="38"/>
      <c r="B17" s="39"/>
      <c r="C17" s="39"/>
      <c r="D17" s="39"/>
      <c r="E17" s="39"/>
      <c r="F17" s="39"/>
      <c r="G17" s="39"/>
      <c r="H17" s="39"/>
      <c r="I17" s="40"/>
      <c r="J17" s="26"/>
      <c r="K17" s="26"/>
      <c r="L17" s="26"/>
      <c r="M17" s="40"/>
    </row>
    <row r="18" spans="1:13">
      <c r="A18" s="392" t="s">
        <v>400</v>
      </c>
      <c r="B18" s="393"/>
      <c r="C18" s="393"/>
      <c r="D18" s="393"/>
      <c r="E18" s="393"/>
      <c r="F18" s="393"/>
      <c r="G18" s="393"/>
      <c r="H18" s="394"/>
    </row>
    <row r="19" spans="1:13" ht="60">
      <c r="A19" s="155" t="s">
        <v>378</v>
      </c>
      <c r="B19" s="45" t="s">
        <v>403</v>
      </c>
      <c r="C19" s="46" t="s">
        <v>404</v>
      </c>
      <c r="D19" s="46" t="s">
        <v>407</v>
      </c>
      <c r="E19" s="46" t="s">
        <v>405</v>
      </c>
      <c r="F19" s="46" t="s">
        <v>408</v>
      </c>
      <c r="G19" s="46" t="s">
        <v>406</v>
      </c>
      <c r="H19" s="64" t="s">
        <v>416</v>
      </c>
    </row>
    <row r="20" spans="1:13">
      <c r="A20" s="413" t="s">
        <v>490</v>
      </c>
      <c r="B20" s="344" t="s">
        <v>429</v>
      </c>
      <c r="C20" s="344"/>
      <c r="D20" s="344"/>
      <c r="E20" s="344"/>
      <c r="F20" s="344"/>
      <c r="G20" s="344"/>
      <c r="H20" s="345"/>
    </row>
    <row r="21" spans="1:13">
      <c r="A21" s="413"/>
      <c r="B21" s="47" t="s">
        <v>582</v>
      </c>
      <c r="C21" s="156" t="s">
        <v>577</v>
      </c>
      <c r="D21" s="49">
        <f>'Mapa de Cotação - FWD, IRI, LVC'!W5</f>
        <v>476</v>
      </c>
      <c r="E21" s="50">
        <v>1</v>
      </c>
      <c r="F21" s="49">
        <f>D21*E21</f>
        <v>476</v>
      </c>
      <c r="G21" s="36">
        <f>'Mapa de Cotação - FWD, IRI, LVC'!$K$21</f>
        <v>362</v>
      </c>
      <c r="H21" s="37">
        <f>G21*F21</f>
        <v>172312</v>
      </c>
    </row>
    <row r="22" spans="1:13">
      <c r="A22" s="413"/>
      <c r="B22" s="44" t="s">
        <v>247</v>
      </c>
      <c r="C22" s="156" t="s">
        <v>402</v>
      </c>
      <c r="D22" s="49">
        <f>D6</f>
        <v>1</v>
      </c>
      <c r="E22" s="50">
        <v>0.5</v>
      </c>
      <c r="F22" s="49">
        <f>D22*E22</f>
        <v>0.5</v>
      </c>
      <c r="G22" s="36">
        <f>(('Tabela DNIT-Consult-BDI'!$H$5*66)+('Tabela DNIT-Consult-BDI'!$I$5*116.49))</f>
        <v>3213.6885000000002</v>
      </c>
      <c r="H22" s="37">
        <f>G22*F22</f>
        <v>1606.8442500000001</v>
      </c>
    </row>
    <row r="23" spans="1:13">
      <c r="A23" s="413"/>
      <c r="B23" s="44" t="s">
        <v>401</v>
      </c>
      <c r="C23" s="156" t="s">
        <v>33</v>
      </c>
      <c r="D23" s="50">
        <f>(E6+E7)*D6*8</f>
        <v>16</v>
      </c>
      <c r="E23" s="50">
        <v>0.5</v>
      </c>
      <c r="F23" s="49">
        <f>D23*E23</f>
        <v>8</v>
      </c>
      <c r="G23" s="52">
        <f>Diárias!$E$5</f>
        <v>364.43999999999994</v>
      </c>
      <c r="H23" s="37">
        <f>G23*F23</f>
        <v>2915.5199999999995</v>
      </c>
    </row>
    <row r="24" spans="1:13">
      <c r="A24" s="413"/>
      <c r="B24" s="343" t="s">
        <v>4</v>
      </c>
      <c r="C24" s="343"/>
      <c r="D24" s="343"/>
      <c r="E24" s="343"/>
      <c r="F24" s="343"/>
      <c r="G24" s="343"/>
      <c r="H24" s="66">
        <f>SUM(H21:H23)</f>
        <v>176834.36424999998</v>
      </c>
    </row>
    <row r="25" spans="1:13">
      <c r="A25" s="413"/>
      <c r="B25" s="344" t="s">
        <v>432</v>
      </c>
      <c r="C25" s="344"/>
      <c r="D25" s="344"/>
      <c r="E25" s="344"/>
      <c r="F25" s="344"/>
      <c r="G25" s="344"/>
      <c r="H25" s="345"/>
    </row>
    <row r="26" spans="1:13">
      <c r="A26" s="413"/>
      <c r="B26" s="47" t="s">
        <v>582</v>
      </c>
      <c r="C26" s="156" t="s">
        <v>577</v>
      </c>
      <c r="D26" s="49">
        <f>'Mapa de Cotação - FWD, IRI, LVC'!W6</f>
        <v>727</v>
      </c>
      <c r="E26" s="50">
        <v>1</v>
      </c>
      <c r="F26" s="49">
        <f>D26*E26</f>
        <v>727</v>
      </c>
      <c r="G26" s="36">
        <f>'Mapa de Cotação - FWD, IRI, LVC'!$K$21</f>
        <v>362</v>
      </c>
      <c r="H26" s="37">
        <f>G26*F26</f>
        <v>263174</v>
      </c>
    </row>
    <row r="27" spans="1:13">
      <c r="A27" s="413"/>
      <c r="B27" s="44" t="s">
        <v>247</v>
      </c>
      <c r="C27" s="156" t="s">
        <v>402</v>
      </c>
      <c r="D27" s="49">
        <f>D10</f>
        <v>1</v>
      </c>
      <c r="E27" s="50">
        <v>0.75</v>
      </c>
      <c r="F27" s="49">
        <f>D27*E27</f>
        <v>0.75</v>
      </c>
      <c r="G27" s="36">
        <f>(('Tabela DNIT-Consult-BDI'!$H$5*66)+('Tabela DNIT-Consult-BDI'!$I$5*116.49))</f>
        <v>3213.6885000000002</v>
      </c>
      <c r="H27" s="37">
        <f>G27*F27</f>
        <v>2410.2663750000002</v>
      </c>
    </row>
    <row r="28" spans="1:13">
      <c r="A28" s="413"/>
      <c r="B28" s="44" t="s">
        <v>401</v>
      </c>
      <c r="C28" s="156" t="s">
        <v>33</v>
      </c>
      <c r="D28" s="50">
        <f>(E10+E11)*D10*8</f>
        <v>16</v>
      </c>
      <c r="E28" s="50">
        <v>0.75</v>
      </c>
      <c r="F28" s="49">
        <f>D28*E28</f>
        <v>12</v>
      </c>
      <c r="G28" s="52">
        <f>Diárias!$E$5</f>
        <v>364.43999999999994</v>
      </c>
      <c r="H28" s="37">
        <f>G28*F28</f>
        <v>4373.2799999999988</v>
      </c>
    </row>
    <row r="29" spans="1:13">
      <c r="A29" s="413"/>
      <c r="B29" s="343" t="s">
        <v>4</v>
      </c>
      <c r="C29" s="343"/>
      <c r="D29" s="343"/>
      <c r="E29" s="343"/>
      <c r="F29" s="343"/>
      <c r="G29" s="343"/>
      <c r="H29" s="66">
        <f>SUM(H26:H28)</f>
        <v>269957.54637500003</v>
      </c>
    </row>
    <row r="30" spans="1:13">
      <c r="A30" s="413"/>
      <c r="B30" s="344" t="s">
        <v>646</v>
      </c>
      <c r="C30" s="344"/>
      <c r="D30" s="344"/>
      <c r="E30" s="344"/>
      <c r="F30" s="344"/>
      <c r="G30" s="344"/>
      <c r="H30" s="345"/>
    </row>
    <row r="31" spans="1:13">
      <c r="A31" s="413"/>
      <c r="B31" s="47" t="s">
        <v>582</v>
      </c>
      <c r="C31" s="156" t="s">
        <v>577</v>
      </c>
      <c r="D31" s="168">
        <f>'Mapa de Cotação - FWD, IRI, LVC'!W7</f>
        <v>681</v>
      </c>
      <c r="E31" s="50">
        <v>1</v>
      </c>
      <c r="F31" s="49">
        <f>D31*E31</f>
        <v>681</v>
      </c>
      <c r="G31" s="36">
        <f>'Mapa de Cotação - FWD, IRI, LVC'!$K$21</f>
        <v>362</v>
      </c>
      <c r="H31" s="37">
        <f>G31*F31</f>
        <v>246522</v>
      </c>
    </row>
    <row r="32" spans="1:13">
      <c r="A32" s="413"/>
      <c r="B32" s="44" t="s">
        <v>247</v>
      </c>
      <c r="C32" s="156" t="s">
        <v>402</v>
      </c>
      <c r="D32" s="49">
        <f>D14</f>
        <v>1</v>
      </c>
      <c r="E32" s="50">
        <v>0.75</v>
      </c>
      <c r="F32" s="49">
        <f>D32*E32</f>
        <v>0.75</v>
      </c>
      <c r="G32" s="36">
        <f>(('Tabela DNIT-Consult-BDI'!$H$5*66)+('Tabela DNIT-Consult-BDI'!$I$5*116.49))</f>
        <v>3213.6885000000002</v>
      </c>
      <c r="H32" s="37">
        <f>G32*F32</f>
        <v>2410.2663750000002</v>
      </c>
    </row>
    <row r="33" spans="1:14">
      <c r="A33" s="413"/>
      <c r="B33" s="44" t="s">
        <v>401</v>
      </c>
      <c r="C33" s="156" t="s">
        <v>33</v>
      </c>
      <c r="D33" s="50">
        <f>(E14+E15)*D14*8</f>
        <v>16</v>
      </c>
      <c r="E33" s="50">
        <v>0.75</v>
      </c>
      <c r="F33" s="49">
        <f>D33*E33</f>
        <v>12</v>
      </c>
      <c r="G33" s="52">
        <f>Diárias!$E$5</f>
        <v>364.43999999999994</v>
      </c>
      <c r="H33" s="37">
        <f>G33*F33</f>
        <v>4373.2799999999988</v>
      </c>
    </row>
    <row r="34" spans="1:14" ht="15.75" thickBot="1">
      <c r="A34" s="414"/>
      <c r="B34" s="346" t="s">
        <v>4</v>
      </c>
      <c r="C34" s="346"/>
      <c r="D34" s="346"/>
      <c r="E34" s="346"/>
      <c r="F34" s="346"/>
      <c r="G34" s="346"/>
      <c r="H34" s="67">
        <f>SUM(H31:H33)</f>
        <v>253305.54637500001</v>
      </c>
    </row>
    <row r="35" spans="1:14">
      <c r="A35" s="35"/>
      <c r="B35" s="415" t="s">
        <v>488</v>
      </c>
      <c r="C35" s="415"/>
      <c r="D35" s="415"/>
      <c r="E35" s="415"/>
      <c r="F35" s="415"/>
      <c r="G35" s="415"/>
      <c r="H35" s="415"/>
    </row>
    <row r="36" spans="1:14" ht="15.75" thickBot="1">
      <c r="A36" s="35"/>
    </row>
    <row r="37" spans="1:14" ht="21.75" thickBot="1">
      <c r="B37" s="396" t="s">
        <v>593</v>
      </c>
      <c r="C37" s="397"/>
      <c r="D37" s="397"/>
      <c r="E37" s="397"/>
      <c r="F37" s="398"/>
      <c r="H37" s="396" t="s">
        <v>594</v>
      </c>
      <c r="I37" s="397"/>
      <c r="J37" s="397"/>
      <c r="K37" s="397"/>
      <c r="L37" s="398"/>
      <c r="N37" s="30"/>
    </row>
    <row r="38" spans="1:14">
      <c r="B38" s="355" t="s">
        <v>1</v>
      </c>
      <c r="C38" s="356"/>
      <c r="D38" s="356"/>
      <c r="E38" s="356" t="s">
        <v>2</v>
      </c>
      <c r="F38" s="395"/>
      <c r="H38" s="355" t="s">
        <v>1</v>
      </c>
      <c r="I38" s="356"/>
      <c r="J38" s="356"/>
      <c r="K38" s="356" t="s">
        <v>2</v>
      </c>
      <c r="L38" s="395"/>
    </row>
    <row r="39" spans="1:14" ht="15.75" thickBot="1">
      <c r="B39" s="357"/>
      <c r="C39" s="358"/>
      <c r="D39" s="358"/>
      <c r="E39" s="53" t="s">
        <v>3</v>
      </c>
      <c r="F39" s="54" t="s">
        <v>4</v>
      </c>
      <c r="H39" s="357"/>
      <c r="I39" s="358"/>
      <c r="J39" s="358"/>
      <c r="K39" s="53" t="s">
        <v>3</v>
      </c>
      <c r="L39" s="54" t="s">
        <v>4</v>
      </c>
    </row>
    <row r="40" spans="1:14">
      <c r="B40" s="359" t="s">
        <v>398</v>
      </c>
      <c r="C40" s="360"/>
      <c r="D40" s="360"/>
      <c r="E40" s="360"/>
      <c r="F40" s="410">
        <f>SUM(E41:E42)</f>
        <v>12463.4856975</v>
      </c>
      <c r="H40" s="359" t="s">
        <v>398</v>
      </c>
      <c r="I40" s="360"/>
      <c r="J40" s="360"/>
      <c r="K40" s="360"/>
      <c r="L40" s="410">
        <f>SUM(K41:K42)</f>
        <v>18695.22854625</v>
      </c>
    </row>
    <row r="41" spans="1:14">
      <c r="B41" s="363" t="s">
        <v>5</v>
      </c>
      <c r="C41" s="378" t="s">
        <v>6</v>
      </c>
      <c r="D41" s="378"/>
      <c r="E41" s="83">
        <f>M6</f>
        <v>9780.6670974999997</v>
      </c>
      <c r="F41" s="411"/>
      <c r="H41" s="363" t="s">
        <v>5</v>
      </c>
      <c r="I41" s="378" t="s">
        <v>6</v>
      </c>
      <c r="J41" s="378"/>
      <c r="K41" s="83">
        <f>M10</f>
        <v>14671.000646249999</v>
      </c>
      <c r="L41" s="411"/>
      <c r="N41" s="30"/>
    </row>
    <row r="42" spans="1:14" ht="15.75" thickBot="1">
      <c r="B42" s="364"/>
      <c r="C42" s="378" t="s">
        <v>7</v>
      </c>
      <c r="D42" s="378"/>
      <c r="E42" s="83">
        <f>M7</f>
        <v>2682.8186000000005</v>
      </c>
      <c r="F42" s="412"/>
      <c r="H42" s="364"/>
      <c r="I42" s="378" t="s">
        <v>7</v>
      </c>
      <c r="J42" s="378"/>
      <c r="K42" s="83">
        <f>M11</f>
        <v>4024.2279000000008</v>
      </c>
      <c r="L42" s="412"/>
    </row>
    <row r="43" spans="1:14">
      <c r="B43" s="352" t="s">
        <v>414</v>
      </c>
      <c r="C43" s="353"/>
      <c r="D43" s="353"/>
      <c r="E43" s="354"/>
      <c r="F43" s="371">
        <f>SUM(E44)</f>
        <v>1525.5306493740002</v>
      </c>
      <c r="H43" s="352" t="s">
        <v>414</v>
      </c>
      <c r="I43" s="353"/>
      <c r="J43" s="353"/>
      <c r="K43" s="354"/>
      <c r="L43" s="371">
        <f>SUM(K44)</f>
        <v>2288.2959740610004</v>
      </c>
    </row>
    <row r="44" spans="1:14" ht="15.75" thickBot="1">
      <c r="B44" s="55" t="s">
        <v>8</v>
      </c>
      <c r="C44" s="77">
        <f>'Tabela DNIT-Consult-BDI'!$I$27/100</f>
        <v>0.12240000000000001</v>
      </c>
      <c r="D44" s="58" t="s">
        <v>9</v>
      </c>
      <c r="E44" s="84">
        <f>F40*C44</f>
        <v>1525.5306493740002</v>
      </c>
      <c r="F44" s="368"/>
      <c r="H44" s="55" t="s">
        <v>8</v>
      </c>
      <c r="I44" s="77">
        <f>'Tabela DNIT-Consult-BDI'!$I$27/100</f>
        <v>0.12240000000000001</v>
      </c>
      <c r="J44" s="58" t="s">
        <v>9</v>
      </c>
      <c r="K44" s="84">
        <f>L40*I44</f>
        <v>2288.2959740610004</v>
      </c>
      <c r="L44" s="368"/>
    </row>
    <row r="45" spans="1:14">
      <c r="B45" s="352" t="s">
        <v>415</v>
      </c>
      <c r="C45" s="353"/>
      <c r="D45" s="353"/>
      <c r="E45" s="354"/>
      <c r="F45" s="371">
        <f>SUM(E46:E48)</f>
        <v>176834.36424999998</v>
      </c>
      <c r="H45" s="352" t="s">
        <v>415</v>
      </c>
      <c r="I45" s="353"/>
      <c r="J45" s="353"/>
      <c r="K45" s="354"/>
      <c r="L45" s="371">
        <f>SUM(K46:K48)</f>
        <v>269957.54637500003</v>
      </c>
    </row>
    <row r="46" spans="1:14">
      <c r="B46" s="373" t="s">
        <v>583</v>
      </c>
      <c r="C46" s="374"/>
      <c r="D46" s="374"/>
      <c r="E46" s="83">
        <f>H21</f>
        <v>172312</v>
      </c>
      <c r="F46" s="372"/>
      <c r="H46" s="373" t="s">
        <v>583</v>
      </c>
      <c r="I46" s="374"/>
      <c r="J46" s="374"/>
      <c r="K46" s="83">
        <f>H26</f>
        <v>263174</v>
      </c>
      <c r="L46" s="372"/>
    </row>
    <row r="47" spans="1:14">
      <c r="B47" s="373" t="s">
        <v>580</v>
      </c>
      <c r="C47" s="374"/>
      <c r="D47" s="374"/>
      <c r="E47" s="83">
        <f>H22</f>
        <v>1606.8442500000001</v>
      </c>
      <c r="F47" s="372"/>
      <c r="H47" s="373" t="s">
        <v>580</v>
      </c>
      <c r="I47" s="374"/>
      <c r="J47" s="374"/>
      <c r="K47" s="83">
        <f>H27</f>
        <v>2410.2663750000002</v>
      </c>
      <c r="L47" s="372"/>
    </row>
    <row r="48" spans="1:14" ht="15.75" thickBot="1">
      <c r="B48" s="375" t="s">
        <v>579</v>
      </c>
      <c r="C48" s="376"/>
      <c r="D48" s="377"/>
      <c r="E48" s="83">
        <f>H23</f>
        <v>2915.5199999999995</v>
      </c>
      <c r="F48" s="368"/>
      <c r="H48" s="375" t="s">
        <v>579</v>
      </c>
      <c r="I48" s="376"/>
      <c r="J48" s="377"/>
      <c r="K48" s="83">
        <f>H28</f>
        <v>4373.2799999999988</v>
      </c>
      <c r="L48" s="368"/>
    </row>
    <row r="49" spans="2:12">
      <c r="B49" s="347" t="s">
        <v>10</v>
      </c>
      <c r="C49" s="348"/>
      <c r="D49" s="349"/>
      <c r="E49" s="57" t="s">
        <v>417</v>
      </c>
      <c r="F49" s="75">
        <f>F45+F43+F40</f>
        <v>190823.38059687399</v>
      </c>
      <c r="H49" s="347" t="s">
        <v>10</v>
      </c>
      <c r="I49" s="348"/>
      <c r="J49" s="349"/>
      <c r="K49" s="57" t="s">
        <v>417</v>
      </c>
      <c r="L49" s="75">
        <f>L45+L43+L40</f>
        <v>290941.07089531107</v>
      </c>
    </row>
    <row r="50" spans="2:12">
      <c r="B50" s="350" t="s">
        <v>11</v>
      </c>
      <c r="C50" s="351"/>
      <c r="D50" s="351"/>
      <c r="E50" s="400"/>
      <c r="F50" s="362">
        <f>D51*F49</f>
        <v>22898.805671624879</v>
      </c>
      <c r="H50" s="350" t="s">
        <v>11</v>
      </c>
      <c r="I50" s="351"/>
      <c r="J50" s="351"/>
      <c r="K50" s="400"/>
      <c r="L50" s="362">
        <f>J51*L49</f>
        <v>34912.928507437326</v>
      </c>
    </row>
    <row r="51" spans="2:12">
      <c r="B51" s="365" t="s">
        <v>8</v>
      </c>
      <c r="C51" s="366"/>
      <c r="D51" s="77">
        <f>'Tabela DNIT-Consult-BDI'!$I$30/100</f>
        <v>0.12</v>
      </c>
      <c r="E51" s="49" t="s">
        <v>12</v>
      </c>
      <c r="F51" s="362"/>
      <c r="H51" s="365" t="s">
        <v>8</v>
      </c>
      <c r="I51" s="366"/>
      <c r="J51" s="77">
        <f>'Tabela DNIT-Consult-BDI'!$I$30/100</f>
        <v>0.12</v>
      </c>
      <c r="K51" s="49" t="s">
        <v>12</v>
      </c>
      <c r="L51" s="362"/>
    </row>
    <row r="52" spans="2:12">
      <c r="B52" s="350" t="s">
        <v>13</v>
      </c>
      <c r="C52" s="351"/>
      <c r="D52" s="351"/>
      <c r="E52" s="400"/>
      <c r="F52" s="367">
        <f>D53*(F49+F50)</f>
        <v>44112.259245818168</v>
      </c>
      <c r="H52" s="350" t="s">
        <v>13</v>
      </c>
      <c r="I52" s="351"/>
      <c r="J52" s="351"/>
      <c r="K52" s="400"/>
      <c r="L52" s="367">
        <f>J53*(L49+L50)</f>
        <v>67256.265476727276</v>
      </c>
    </row>
    <row r="53" spans="2:12" ht="15.75" thickBot="1">
      <c r="B53" s="369" t="s">
        <v>8</v>
      </c>
      <c r="C53" s="370"/>
      <c r="D53" s="77">
        <f>'Tabela DNIT-Consult-BDI'!$I$35/100</f>
        <v>0.2064</v>
      </c>
      <c r="E53" s="58" t="s">
        <v>14</v>
      </c>
      <c r="F53" s="368"/>
      <c r="H53" s="369" t="s">
        <v>8</v>
      </c>
      <c r="I53" s="370"/>
      <c r="J53" s="77">
        <f>'Tabela DNIT-Consult-BDI'!$I$35/100</f>
        <v>0.2064</v>
      </c>
      <c r="K53" s="58" t="s">
        <v>14</v>
      </c>
      <c r="L53" s="368"/>
    </row>
    <row r="54" spans="2:12">
      <c r="B54" s="347" t="s">
        <v>588</v>
      </c>
      <c r="C54" s="348"/>
      <c r="D54" s="348"/>
      <c r="E54" s="349"/>
      <c r="F54" s="371">
        <f>E55</f>
        <v>9266.8651147445835</v>
      </c>
      <c r="H54" s="347" t="s">
        <v>588</v>
      </c>
      <c r="I54" s="348"/>
      <c r="J54" s="348"/>
      <c r="K54" s="349"/>
      <c r="L54" s="371">
        <f>K55</f>
        <v>10921.493156784245</v>
      </c>
    </row>
    <row r="55" spans="2:12" ht="15.75" thickBot="1">
      <c r="B55" s="403" t="s">
        <v>586</v>
      </c>
      <c r="C55" s="404"/>
      <c r="D55" s="405"/>
      <c r="E55" s="139">
        <f>'CPU_Eq. Coord.'!F75</f>
        <v>9266.8651147445835</v>
      </c>
      <c r="F55" s="368"/>
      <c r="H55" s="403" t="s">
        <v>586</v>
      </c>
      <c r="I55" s="404"/>
      <c r="J55" s="405"/>
      <c r="K55" s="139">
        <f>'CPU_Eq. Coord.'!L75</f>
        <v>10921.493156784245</v>
      </c>
      <c r="L55" s="368"/>
    </row>
    <row r="56" spans="2:12" ht="15.75" thickBot="1">
      <c r="B56" s="337" t="s">
        <v>592</v>
      </c>
      <c r="C56" s="338"/>
      <c r="D56" s="339"/>
      <c r="E56" s="62" t="s">
        <v>587</v>
      </c>
      <c r="F56" s="76">
        <f>F49+F50+F52+F54</f>
        <v>267101.3106290616</v>
      </c>
      <c r="H56" s="337" t="s">
        <v>420</v>
      </c>
      <c r="I56" s="338"/>
      <c r="J56" s="339"/>
      <c r="K56" s="62" t="s">
        <v>587</v>
      </c>
      <c r="L56" s="76">
        <f>L49+L50+L52+L54</f>
        <v>404031.75803625997</v>
      </c>
    </row>
    <row r="58" spans="2:12" ht="15.75" thickBot="1"/>
    <row r="59" spans="2:12" ht="21.75" thickBot="1">
      <c r="B59" s="396" t="s">
        <v>647</v>
      </c>
      <c r="C59" s="397"/>
      <c r="D59" s="397"/>
      <c r="E59" s="397"/>
      <c r="F59" s="398"/>
    </row>
    <row r="60" spans="2:12">
      <c r="B60" s="355" t="s">
        <v>1</v>
      </c>
      <c r="C60" s="356"/>
      <c r="D60" s="356"/>
      <c r="E60" s="356" t="s">
        <v>2</v>
      </c>
      <c r="F60" s="395"/>
    </row>
    <row r="61" spans="2:12" ht="15.75" thickBot="1">
      <c r="B61" s="357"/>
      <c r="C61" s="358"/>
      <c r="D61" s="358"/>
      <c r="E61" s="153" t="s">
        <v>3</v>
      </c>
      <c r="F61" s="54" t="s">
        <v>4</v>
      </c>
    </row>
    <row r="62" spans="2:12">
      <c r="B62" s="359" t="s">
        <v>398</v>
      </c>
      <c r="C62" s="360"/>
      <c r="D62" s="360"/>
      <c r="E62" s="360"/>
      <c r="F62" s="410">
        <f>SUM(E63:E64)</f>
        <v>17448.8799765</v>
      </c>
    </row>
    <row r="63" spans="2:12">
      <c r="B63" s="363" t="s">
        <v>5</v>
      </c>
      <c r="C63" s="378" t="s">
        <v>6</v>
      </c>
      <c r="D63" s="378"/>
      <c r="E63" s="83">
        <f>M14</f>
        <v>13692.933936499998</v>
      </c>
      <c r="F63" s="411"/>
    </row>
    <row r="64" spans="2:12" ht="15.75" thickBot="1">
      <c r="B64" s="364"/>
      <c r="C64" s="378" t="s">
        <v>7</v>
      </c>
      <c r="D64" s="378"/>
      <c r="E64" s="83">
        <f>M15</f>
        <v>3755.9460400000007</v>
      </c>
      <c r="F64" s="412"/>
    </row>
    <row r="65" spans="2:6">
      <c r="B65" s="352" t="s">
        <v>414</v>
      </c>
      <c r="C65" s="353"/>
      <c r="D65" s="353"/>
      <c r="E65" s="354"/>
      <c r="F65" s="371">
        <f>SUM(E66)</f>
        <v>2135.7429091236004</v>
      </c>
    </row>
    <row r="66" spans="2:6" ht="15.75" thickBot="1">
      <c r="B66" s="55" t="s">
        <v>8</v>
      </c>
      <c r="C66" s="77">
        <f>'Tabela DNIT-Consult-BDI'!$I$27/100</f>
        <v>0.12240000000000001</v>
      </c>
      <c r="D66" s="58" t="s">
        <v>9</v>
      </c>
      <c r="E66" s="84">
        <f>F62*C66</f>
        <v>2135.7429091236004</v>
      </c>
      <c r="F66" s="368"/>
    </row>
    <row r="67" spans="2:6">
      <c r="B67" s="352" t="s">
        <v>415</v>
      </c>
      <c r="C67" s="353"/>
      <c r="D67" s="353"/>
      <c r="E67" s="354"/>
      <c r="F67" s="371">
        <f>SUM(E68:E70)</f>
        <v>253305.54637500001</v>
      </c>
    </row>
    <row r="68" spans="2:6">
      <c r="B68" s="373" t="s">
        <v>583</v>
      </c>
      <c r="C68" s="374"/>
      <c r="D68" s="374"/>
      <c r="E68" s="83">
        <f>H31</f>
        <v>246522</v>
      </c>
      <c r="F68" s="372"/>
    </row>
    <row r="69" spans="2:6">
      <c r="B69" s="373" t="s">
        <v>580</v>
      </c>
      <c r="C69" s="374"/>
      <c r="D69" s="374"/>
      <c r="E69" s="83">
        <f>H32</f>
        <v>2410.2663750000002</v>
      </c>
      <c r="F69" s="372"/>
    </row>
    <row r="70" spans="2:6" ht="15.75" thickBot="1">
      <c r="B70" s="375" t="s">
        <v>579</v>
      </c>
      <c r="C70" s="376"/>
      <c r="D70" s="377"/>
      <c r="E70" s="83">
        <f>H33</f>
        <v>4373.2799999999988</v>
      </c>
      <c r="F70" s="368"/>
    </row>
    <row r="71" spans="2:6">
      <c r="B71" s="347" t="s">
        <v>10</v>
      </c>
      <c r="C71" s="348"/>
      <c r="D71" s="349"/>
      <c r="E71" s="152" t="s">
        <v>417</v>
      </c>
      <c r="F71" s="154">
        <f>F67+F65+F62</f>
        <v>272890.16926062363</v>
      </c>
    </row>
    <row r="72" spans="2:6">
      <c r="B72" s="350" t="s">
        <v>11</v>
      </c>
      <c r="C72" s="351"/>
      <c r="D72" s="351"/>
      <c r="E72" s="400"/>
      <c r="F72" s="362">
        <f>D73*F71</f>
        <v>32746.820311274834</v>
      </c>
    </row>
    <row r="73" spans="2:6">
      <c r="B73" s="365" t="s">
        <v>8</v>
      </c>
      <c r="C73" s="366"/>
      <c r="D73" s="77">
        <f>'Tabela DNIT-Consult-BDI'!$I$30/100</f>
        <v>0.12</v>
      </c>
      <c r="E73" s="49" t="s">
        <v>12</v>
      </c>
      <c r="F73" s="362"/>
    </row>
    <row r="74" spans="2:6">
      <c r="B74" s="350" t="s">
        <v>13</v>
      </c>
      <c r="C74" s="351"/>
      <c r="D74" s="351"/>
      <c r="E74" s="400"/>
      <c r="F74" s="367">
        <f>D75*(F71+F72)</f>
        <v>63083.474647639843</v>
      </c>
    </row>
    <row r="75" spans="2:6" ht="15.75" thickBot="1">
      <c r="B75" s="369" t="s">
        <v>8</v>
      </c>
      <c r="C75" s="370"/>
      <c r="D75" s="77">
        <f>'Tabela DNIT-Consult-BDI'!$I$35/100</f>
        <v>0.2064</v>
      </c>
      <c r="E75" s="58" t="s">
        <v>14</v>
      </c>
      <c r="F75" s="368"/>
    </row>
    <row r="76" spans="2:6">
      <c r="B76" s="347" t="s">
        <v>588</v>
      </c>
      <c r="C76" s="348"/>
      <c r="D76" s="348"/>
      <c r="E76" s="349"/>
      <c r="F76" s="371">
        <f>E77</f>
        <v>20968.323465394224</v>
      </c>
    </row>
    <row r="77" spans="2:6" ht="15.75" thickBot="1">
      <c r="B77" s="403" t="s">
        <v>586</v>
      </c>
      <c r="C77" s="404"/>
      <c r="D77" s="405"/>
      <c r="E77" s="139">
        <f>'CPU_Eq. Coord.'!R75</f>
        <v>20968.323465394224</v>
      </c>
      <c r="F77" s="368"/>
    </row>
    <row r="78" spans="2:6" ht="15.75" thickBot="1">
      <c r="B78" s="337" t="s">
        <v>420</v>
      </c>
      <c r="C78" s="338"/>
      <c r="D78" s="339"/>
      <c r="E78" s="62" t="s">
        <v>587</v>
      </c>
      <c r="F78" s="76">
        <f>F71+F72+F74+F76</f>
        <v>389688.78768493253</v>
      </c>
    </row>
  </sheetData>
  <mergeCells count="100">
    <mergeCell ref="H49:J49"/>
    <mergeCell ref="A1:M1"/>
    <mergeCell ref="A2:M2"/>
    <mergeCell ref="A3:M3"/>
    <mergeCell ref="B5:M5"/>
    <mergeCell ref="D6:D7"/>
    <mergeCell ref="B8:H8"/>
    <mergeCell ref="B9:M9"/>
    <mergeCell ref="D10:D11"/>
    <mergeCell ref="B12:H12"/>
    <mergeCell ref="B20:H20"/>
    <mergeCell ref="B25:H25"/>
    <mergeCell ref="E38:F38"/>
    <mergeCell ref="B24:G24"/>
    <mergeCell ref="B29:G29"/>
    <mergeCell ref="B34:G34"/>
    <mergeCell ref="B49:D49"/>
    <mergeCell ref="B35:H35"/>
    <mergeCell ref="B40:E40"/>
    <mergeCell ref="F40:F42"/>
    <mergeCell ref="B41:B42"/>
    <mergeCell ref="C41:D41"/>
    <mergeCell ref="C42:D42"/>
    <mergeCell ref="H37:L37"/>
    <mergeCell ref="H38:J39"/>
    <mergeCell ref="K38:L38"/>
    <mergeCell ref="H40:K40"/>
    <mergeCell ref="L40:L42"/>
    <mergeCell ref="H41:H42"/>
    <mergeCell ref="I41:J41"/>
    <mergeCell ref="I42:J42"/>
    <mergeCell ref="B37:F37"/>
    <mergeCell ref="B38:D39"/>
    <mergeCell ref="B43:E43"/>
    <mergeCell ref="F43:F44"/>
    <mergeCell ref="B45:E45"/>
    <mergeCell ref="F45:F48"/>
    <mergeCell ref="B47:D47"/>
    <mergeCell ref="B48:D48"/>
    <mergeCell ref="B46:D46"/>
    <mergeCell ref="F50:F51"/>
    <mergeCell ref="B51:C51"/>
    <mergeCell ref="F52:F53"/>
    <mergeCell ref="B53:C53"/>
    <mergeCell ref="B56:D56"/>
    <mergeCell ref="B52:E52"/>
    <mergeCell ref="B50:E50"/>
    <mergeCell ref="B54:E54"/>
    <mergeCell ref="F54:F55"/>
    <mergeCell ref="B55:D55"/>
    <mergeCell ref="H43:K43"/>
    <mergeCell ref="L43:L44"/>
    <mergeCell ref="H45:K45"/>
    <mergeCell ref="L45:L48"/>
    <mergeCell ref="H47:J47"/>
    <mergeCell ref="H48:J48"/>
    <mergeCell ref="H46:J46"/>
    <mergeCell ref="L50:L51"/>
    <mergeCell ref="H51:I51"/>
    <mergeCell ref="L52:L53"/>
    <mergeCell ref="H53:I53"/>
    <mergeCell ref="H56:J56"/>
    <mergeCell ref="H54:K54"/>
    <mergeCell ref="L54:L55"/>
    <mergeCell ref="H55:J55"/>
    <mergeCell ref="H50:K50"/>
    <mergeCell ref="H52:K52"/>
    <mergeCell ref="B13:M13"/>
    <mergeCell ref="D14:D15"/>
    <mergeCell ref="B16:H16"/>
    <mergeCell ref="A5:A16"/>
    <mergeCell ref="B30:H30"/>
    <mergeCell ref="A20:A34"/>
    <mergeCell ref="A18:H18"/>
    <mergeCell ref="B59:F59"/>
    <mergeCell ref="B60:D61"/>
    <mergeCell ref="E60:F60"/>
    <mergeCell ref="B62:E62"/>
    <mergeCell ref="F62:F64"/>
    <mergeCell ref="B63:B64"/>
    <mergeCell ref="C63:D63"/>
    <mergeCell ref="C64:D64"/>
    <mergeCell ref="B65:E65"/>
    <mergeCell ref="F65:F66"/>
    <mergeCell ref="B67:E67"/>
    <mergeCell ref="F67:F70"/>
    <mergeCell ref="B68:D68"/>
    <mergeCell ref="B69:D69"/>
    <mergeCell ref="B70:D70"/>
    <mergeCell ref="B76:E76"/>
    <mergeCell ref="F76:F77"/>
    <mergeCell ref="B77:D77"/>
    <mergeCell ref="B78:D78"/>
    <mergeCell ref="B71:D71"/>
    <mergeCell ref="B72:E72"/>
    <mergeCell ref="F72:F73"/>
    <mergeCell ref="B73:C73"/>
    <mergeCell ref="B74:E74"/>
    <mergeCell ref="F74:F75"/>
    <mergeCell ref="B75:C75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5FAC7D-D163-418A-8740-E68CBFF5A75A}">
  <sheetPr>
    <tabColor theme="9"/>
  </sheetPr>
  <dimension ref="A1:N78"/>
  <sheetViews>
    <sheetView zoomScale="80" zoomScaleNormal="80" workbookViewId="0">
      <selection activeCell="B32" sqref="B32"/>
    </sheetView>
  </sheetViews>
  <sheetFormatPr defaultRowHeight="15"/>
  <cols>
    <col min="1" max="1" width="8.85546875" style="27" customWidth="1"/>
    <col min="2" max="2" width="49.85546875" style="27" customWidth="1"/>
    <col min="3" max="3" width="17.42578125" style="27" customWidth="1"/>
    <col min="4" max="4" width="22.140625" style="27" customWidth="1"/>
    <col min="5" max="5" width="17.42578125" style="27" customWidth="1"/>
    <col min="6" max="7" width="15.42578125" style="27" customWidth="1"/>
    <col min="8" max="8" width="15" style="27" customWidth="1"/>
    <col min="9" max="9" width="21.140625" style="27" customWidth="1"/>
    <col min="10" max="10" width="24.85546875" style="27" customWidth="1"/>
    <col min="11" max="11" width="22.140625" style="27" customWidth="1"/>
    <col min="12" max="12" width="20.28515625" style="27" customWidth="1"/>
    <col min="13" max="13" width="18.5703125" style="27" customWidth="1"/>
    <col min="14" max="14" width="9.140625" style="27"/>
    <col min="15" max="15" width="17.140625" style="27" customWidth="1"/>
    <col min="16" max="16" width="24.5703125" style="27" customWidth="1"/>
    <col min="17" max="17" width="21.5703125" style="27" customWidth="1"/>
    <col min="18" max="18" width="18.7109375" style="27" customWidth="1"/>
    <col min="19" max="19" width="19.5703125" style="27" customWidth="1"/>
    <col min="20" max="16384" width="9.140625" style="27"/>
  </cols>
  <sheetData>
    <row r="1" spans="1:13" ht="30.75" customHeight="1">
      <c r="A1" s="384" t="s">
        <v>396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</row>
    <row r="2" spans="1:13" ht="28.5" customHeight="1" thickBot="1">
      <c r="A2" s="409" t="s">
        <v>658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</row>
    <row r="3" spans="1:13">
      <c r="A3" s="386" t="s">
        <v>397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8"/>
    </row>
    <row r="4" spans="1:13" s="32" customFormat="1" ht="60">
      <c r="A4" s="155" t="s">
        <v>378</v>
      </c>
      <c r="B4" s="68" t="s">
        <v>306</v>
      </c>
      <c r="C4" s="68" t="s">
        <v>307</v>
      </c>
      <c r="D4" s="68" t="s">
        <v>377</v>
      </c>
      <c r="E4" s="68" t="s">
        <v>308</v>
      </c>
      <c r="F4" s="68" t="s">
        <v>309</v>
      </c>
      <c r="G4" s="68" t="s">
        <v>758</v>
      </c>
      <c r="H4" s="68" t="s">
        <v>310</v>
      </c>
      <c r="I4" s="68" t="s">
        <v>311</v>
      </c>
      <c r="J4" s="68" t="s">
        <v>312</v>
      </c>
      <c r="K4" s="68" t="s">
        <v>319</v>
      </c>
      <c r="L4" s="68" t="s">
        <v>320</v>
      </c>
      <c r="M4" s="72" t="s">
        <v>321</v>
      </c>
    </row>
    <row r="5" spans="1:13" ht="17.25">
      <c r="A5" s="389" t="s">
        <v>489</v>
      </c>
      <c r="B5" s="340" t="s">
        <v>436</v>
      </c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1"/>
    </row>
    <row r="6" spans="1:13" s="33" customFormat="1" ht="17.25">
      <c r="A6" s="389"/>
      <c r="B6" s="71" t="s">
        <v>34</v>
      </c>
      <c r="C6" s="156" t="s">
        <v>35</v>
      </c>
      <c r="D6" s="342">
        <v>1</v>
      </c>
      <c r="E6" s="156">
        <v>1</v>
      </c>
      <c r="F6" s="50">
        <f t="shared" ref="F6:F7" si="0">15/30</f>
        <v>0.5</v>
      </c>
      <c r="G6" s="50">
        <f>D6*E6*F6*176</f>
        <v>88</v>
      </c>
      <c r="H6" s="36">
        <f>VLOOKUP(C6,'Tabela DNIT-Consult-MO'!$A:$D,4,FALSE)</f>
        <v>10864.39</v>
      </c>
      <c r="I6" s="36">
        <f>F6*H6*$D$6*E6</f>
        <v>5432.1949999999997</v>
      </c>
      <c r="J6" s="70">
        <f>VLOOKUP(C6,'Tabela DNIT-Consult-MO'!$A:$F,5,FALSE)</f>
        <v>0.80049999999999999</v>
      </c>
      <c r="K6" s="36">
        <f>H6*J6</f>
        <v>8696.944195</v>
      </c>
      <c r="L6" s="36">
        <f>I6*J6</f>
        <v>4348.4720975</v>
      </c>
      <c r="M6" s="37">
        <f>I6+L6</f>
        <v>9780.6670974999997</v>
      </c>
    </row>
    <row r="7" spans="1:13">
      <c r="A7" s="389"/>
      <c r="B7" s="69" t="s">
        <v>28</v>
      </c>
      <c r="C7" s="156" t="s">
        <v>29</v>
      </c>
      <c r="D7" s="342"/>
      <c r="E7" s="156">
        <v>1</v>
      </c>
      <c r="F7" s="50">
        <f t="shared" si="0"/>
        <v>0.5</v>
      </c>
      <c r="G7" s="50">
        <f>D6*E7*F7*176</f>
        <v>88</v>
      </c>
      <c r="H7" s="36">
        <f>VLOOKUP(C7,'Tabela DNIT-Consult-MO'!$A:$D,4,FALSE)</f>
        <v>2974.3</v>
      </c>
      <c r="I7" s="36">
        <f>F7*H7*$D$6*E7</f>
        <v>1487.15</v>
      </c>
      <c r="J7" s="70">
        <f>VLOOKUP(C7,'Tabela DNIT-Consult-MO'!$A:$F,5,FALSE)</f>
        <v>0.80400000000000005</v>
      </c>
      <c r="K7" s="36">
        <f>H7*J7</f>
        <v>2391.3372000000004</v>
      </c>
      <c r="L7" s="36">
        <f>I7*J7</f>
        <v>1195.6686000000002</v>
      </c>
      <c r="M7" s="37">
        <f>I7+L7</f>
        <v>2682.8186000000005</v>
      </c>
    </row>
    <row r="8" spans="1:13">
      <c r="A8" s="389"/>
      <c r="B8" s="343" t="s">
        <v>4</v>
      </c>
      <c r="C8" s="343"/>
      <c r="D8" s="343"/>
      <c r="E8" s="343"/>
      <c r="F8" s="343"/>
      <c r="G8" s="343"/>
      <c r="H8" s="343"/>
      <c r="I8" s="51">
        <f>SUM(I6:I7)</f>
        <v>6919.3449999999993</v>
      </c>
      <c r="J8" s="44"/>
      <c r="K8" s="44"/>
      <c r="L8" s="44"/>
      <c r="M8" s="41">
        <f>SUM(M6:M7)</f>
        <v>12463.4856975</v>
      </c>
    </row>
    <row r="9" spans="1:13" ht="17.25">
      <c r="A9" s="389"/>
      <c r="B9" s="340" t="s">
        <v>437</v>
      </c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1"/>
    </row>
    <row r="10" spans="1:13">
      <c r="A10" s="389"/>
      <c r="B10" s="71" t="s">
        <v>34</v>
      </c>
      <c r="C10" s="156" t="s">
        <v>35</v>
      </c>
      <c r="D10" s="342">
        <v>1</v>
      </c>
      <c r="E10" s="156">
        <v>1</v>
      </c>
      <c r="F10" s="50">
        <f>22.5/30</f>
        <v>0.75</v>
      </c>
      <c r="G10" s="50">
        <f>D10*E10*F10*176</f>
        <v>132</v>
      </c>
      <c r="H10" s="36">
        <f>VLOOKUP(C10,'Tabela DNIT-Consult-MO'!$A:$D,4,FALSE)</f>
        <v>10864.39</v>
      </c>
      <c r="I10" s="36">
        <f>F10*H10*$D$10*E10</f>
        <v>8148.2924999999996</v>
      </c>
      <c r="J10" s="70">
        <f>VLOOKUP(C10,'Tabela DNIT-Consult-MO'!$A:$F,5,FALSE)</f>
        <v>0.80049999999999999</v>
      </c>
      <c r="K10" s="36">
        <f>H10*J10</f>
        <v>8696.944195</v>
      </c>
      <c r="L10" s="36">
        <f>I10*J10</f>
        <v>6522.7081462499991</v>
      </c>
      <c r="M10" s="37">
        <f>I10+L10</f>
        <v>14671.000646249999</v>
      </c>
    </row>
    <row r="11" spans="1:13">
      <c r="A11" s="389"/>
      <c r="B11" s="69" t="s">
        <v>28</v>
      </c>
      <c r="C11" s="156" t="s">
        <v>29</v>
      </c>
      <c r="D11" s="342"/>
      <c r="E11" s="156">
        <v>1</v>
      </c>
      <c r="F11" s="50">
        <f>22.5/30</f>
        <v>0.75</v>
      </c>
      <c r="G11" s="50">
        <f>D10*E11*F11*176</f>
        <v>132</v>
      </c>
      <c r="H11" s="36">
        <f>VLOOKUP(C11,'Tabela DNIT-Consult-MO'!$A:$D,4,FALSE)</f>
        <v>2974.3</v>
      </c>
      <c r="I11" s="36">
        <f>F11*H11*$D$10*E11</f>
        <v>2230.7250000000004</v>
      </c>
      <c r="J11" s="70">
        <f>VLOOKUP(C11,'Tabela DNIT-Consult-MO'!$A:$F,5,FALSE)</f>
        <v>0.80400000000000005</v>
      </c>
      <c r="K11" s="36">
        <f>H11*J11</f>
        <v>2391.3372000000004</v>
      </c>
      <c r="L11" s="36">
        <f>I11*J11</f>
        <v>1793.5029000000004</v>
      </c>
      <c r="M11" s="37">
        <f>I11+L11</f>
        <v>4024.2279000000008</v>
      </c>
    </row>
    <row r="12" spans="1:13">
      <c r="A12" s="389"/>
      <c r="B12" s="343" t="s">
        <v>4</v>
      </c>
      <c r="C12" s="343"/>
      <c r="D12" s="343"/>
      <c r="E12" s="343"/>
      <c r="F12" s="343"/>
      <c r="G12" s="343"/>
      <c r="H12" s="343"/>
      <c r="I12" s="51">
        <f>SUM(I10:I11)</f>
        <v>10379.0175</v>
      </c>
      <c r="J12" s="44"/>
      <c r="K12" s="44"/>
      <c r="L12" s="44"/>
      <c r="M12" s="41">
        <f>SUM(M10:M11)</f>
        <v>18695.22854625</v>
      </c>
    </row>
    <row r="13" spans="1:13" ht="17.25">
      <c r="A13" s="389"/>
      <c r="B13" s="340" t="s">
        <v>648</v>
      </c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1"/>
    </row>
    <row r="14" spans="1:13">
      <c r="A14" s="389"/>
      <c r="B14" s="71" t="s">
        <v>34</v>
      </c>
      <c r="C14" s="156" t="s">
        <v>35</v>
      </c>
      <c r="D14" s="342">
        <v>1</v>
      </c>
      <c r="E14" s="156">
        <v>1</v>
      </c>
      <c r="F14" s="50">
        <f>21/30</f>
        <v>0.7</v>
      </c>
      <c r="G14" s="50">
        <f>D14*E14*F14*176</f>
        <v>123.19999999999999</v>
      </c>
      <c r="H14" s="36">
        <f>VLOOKUP(C14,'Tabela DNIT-Consult-MO'!$A:$D,4,FALSE)</f>
        <v>10864.39</v>
      </c>
      <c r="I14" s="36">
        <f>F14*H14*$D$14*E14</f>
        <v>7605.0729999999994</v>
      </c>
      <c r="J14" s="70">
        <f>VLOOKUP(C14,'Tabela DNIT-Consult-MO'!$A:$F,5,FALSE)</f>
        <v>0.80049999999999999</v>
      </c>
      <c r="K14" s="36">
        <f>H14*J14</f>
        <v>8696.944195</v>
      </c>
      <c r="L14" s="36">
        <f>I14*J14</f>
        <v>6087.8609364999993</v>
      </c>
      <c r="M14" s="37">
        <f>I14+L14</f>
        <v>13692.933936499998</v>
      </c>
    </row>
    <row r="15" spans="1:13">
      <c r="A15" s="389"/>
      <c r="B15" s="69" t="s">
        <v>28</v>
      </c>
      <c r="C15" s="156" t="s">
        <v>29</v>
      </c>
      <c r="D15" s="342"/>
      <c r="E15" s="156">
        <v>1</v>
      </c>
      <c r="F15" s="50">
        <f>21/30</f>
        <v>0.7</v>
      </c>
      <c r="G15" s="50">
        <f>D14*E15*F15*176</f>
        <v>123.19999999999999</v>
      </c>
      <c r="H15" s="36">
        <f>VLOOKUP(C15,'Tabela DNIT-Consult-MO'!$A:$D,4,FALSE)</f>
        <v>2974.3</v>
      </c>
      <c r="I15" s="36">
        <f>F15*H15*$D$14*E15</f>
        <v>2082.0100000000002</v>
      </c>
      <c r="J15" s="70">
        <f>VLOOKUP(C15,'Tabela DNIT-Consult-MO'!$A:$F,5,FALSE)</f>
        <v>0.80400000000000005</v>
      </c>
      <c r="K15" s="36">
        <f>H15*J15</f>
        <v>2391.3372000000004</v>
      </c>
      <c r="L15" s="36">
        <f>I15*J15</f>
        <v>1673.9360400000003</v>
      </c>
      <c r="M15" s="37">
        <f>I15+L15</f>
        <v>3755.9460400000007</v>
      </c>
    </row>
    <row r="16" spans="1:13" ht="15.75" thickBot="1">
      <c r="A16" s="390"/>
      <c r="B16" s="346" t="s">
        <v>4</v>
      </c>
      <c r="C16" s="346"/>
      <c r="D16" s="346"/>
      <c r="E16" s="346"/>
      <c r="F16" s="346"/>
      <c r="G16" s="346"/>
      <c r="H16" s="346"/>
      <c r="I16" s="73">
        <f>SUM(I14:I15)</f>
        <v>9687.0829999999987</v>
      </c>
      <c r="J16" s="74"/>
      <c r="K16" s="74"/>
      <c r="L16" s="74"/>
      <c r="M16" s="42">
        <f>SUM(M14:M15)</f>
        <v>17448.8799765</v>
      </c>
    </row>
    <row r="17" spans="1:13" ht="15.75" thickBot="1">
      <c r="A17" s="38"/>
      <c r="B17" s="39"/>
      <c r="C17" s="39"/>
      <c r="D17" s="39"/>
      <c r="E17" s="39"/>
      <c r="F17" s="39"/>
      <c r="G17" s="39"/>
      <c r="H17" s="39"/>
      <c r="I17" s="40"/>
      <c r="J17" s="26"/>
      <c r="K17" s="26"/>
      <c r="L17" s="26"/>
      <c r="M17" s="40"/>
    </row>
    <row r="18" spans="1:13">
      <c r="A18" s="392" t="s">
        <v>400</v>
      </c>
      <c r="B18" s="393"/>
      <c r="C18" s="393"/>
      <c r="D18" s="393"/>
      <c r="E18" s="393"/>
      <c r="F18" s="393"/>
      <c r="G18" s="393"/>
      <c r="H18" s="394"/>
    </row>
    <row r="19" spans="1:13" ht="60">
      <c r="A19" s="155" t="s">
        <v>378</v>
      </c>
      <c r="B19" s="45" t="s">
        <v>403</v>
      </c>
      <c r="C19" s="46" t="s">
        <v>404</v>
      </c>
      <c r="D19" s="46" t="s">
        <v>407</v>
      </c>
      <c r="E19" s="46" t="s">
        <v>405</v>
      </c>
      <c r="F19" s="46" t="s">
        <v>408</v>
      </c>
      <c r="G19" s="46" t="s">
        <v>406</v>
      </c>
      <c r="H19" s="64" t="s">
        <v>416</v>
      </c>
    </row>
    <row r="20" spans="1:13">
      <c r="A20" s="416" t="s">
        <v>490</v>
      </c>
      <c r="B20" s="344" t="s">
        <v>429</v>
      </c>
      <c r="C20" s="344"/>
      <c r="D20" s="344"/>
      <c r="E20" s="344"/>
      <c r="F20" s="344"/>
      <c r="G20" s="344"/>
      <c r="H20" s="345"/>
    </row>
    <row r="21" spans="1:13">
      <c r="A21" s="417"/>
      <c r="B21" s="47" t="s">
        <v>581</v>
      </c>
      <c r="C21" s="156" t="s">
        <v>577</v>
      </c>
      <c r="D21" s="49">
        <f>'Mapa de Cotação - FWD, IRI, LVC'!X5</f>
        <v>476</v>
      </c>
      <c r="E21" s="50">
        <v>1</v>
      </c>
      <c r="F21" s="49">
        <f>D21*E21</f>
        <v>476</v>
      </c>
      <c r="G21" s="36">
        <f>'Mapa de Cotação - FWD, IRI, LVC'!$K$21</f>
        <v>362</v>
      </c>
      <c r="H21" s="37">
        <f>G21*F21</f>
        <v>172312</v>
      </c>
    </row>
    <row r="22" spans="1:13">
      <c r="A22" s="417"/>
      <c r="B22" s="44" t="s">
        <v>247</v>
      </c>
      <c r="C22" s="156" t="s">
        <v>402</v>
      </c>
      <c r="D22" s="49">
        <f>D6</f>
        <v>1</v>
      </c>
      <c r="E22" s="50">
        <f>$F$6</f>
        <v>0.5</v>
      </c>
      <c r="F22" s="49">
        <f>D22*E22</f>
        <v>0.5</v>
      </c>
      <c r="G22" s="36">
        <f>(('Tabela DNIT-Consult-BDI'!$H$5*66)+('Tabela DNIT-Consult-BDI'!$I$5*116.49))</f>
        <v>3213.6885000000002</v>
      </c>
      <c r="H22" s="37">
        <f>G22*F22</f>
        <v>1606.8442500000001</v>
      </c>
    </row>
    <row r="23" spans="1:13">
      <c r="A23" s="417"/>
      <c r="B23" s="44" t="s">
        <v>401</v>
      </c>
      <c r="C23" s="156" t="s">
        <v>33</v>
      </c>
      <c r="D23" s="50">
        <f>(E6+E7)*D6*8</f>
        <v>16</v>
      </c>
      <c r="E23" s="50">
        <f>$F$6</f>
        <v>0.5</v>
      </c>
      <c r="F23" s="49">
        <f>D23*E23</f>
        <v>8</v>
      </c>
      <c r="G23" s="52">
        <f>Diárias!$E$5</f>
        <v>364.43999999999994</v>
      </c>
      <c r="H23" s="37">
        <f>G23*F23</f>
        <v>2915.5199999999995</v>
      </c>
    </row>
    <row r="24" spans="1:13">
      <c r="A24" s="417"/>
      <c r="B24" s="343" t="s">
        <v>4</v>
      </c>
      <c r="C24" s="343"/>
      <c r="D24" s="343"/>
      <c r="E24" s="343"/>
      <c r="F24" s="343"/>
      <c r="G24" s="343"/>
      <c r="H24" s="66">
        <f>SUM(H21:H23)</f>
        <v>176834.36424999998</v>
      </c>
    </row>
    <row r="25" spans="1:13">
      <c r="A25" s="417"/>
      <c r="B25" s="344" t="s">
        <v>432</v>
      </c>
      <c r="C25" s="344"/>
      <c r="D25" s="344"/>
      <c r="E25" s="344"/>
      <c r="F25" s="344"/>
      <c r="G25" s="344"/>
      <c r="H25" s="345"/>
    </row>
    <row r="26" spans="1:13">
      <c r="A26" s="417"/>
      <c r="B26" s="47" t="s">
        <v>581</v>
      </c>
      <c r="C26" s="156" t="s">
        <v>577</v>
      </c>
      <c r="D26" s="49">
        <f>'Mapa de Cotação - FWD, IRI, LVC'!X6</f>
        <v>727</v>
      </c>
      <c r="E26" s="50">
        <v>1</v>
      </c>
      <c r="F26" s="49">
        <f>D26*E26</f>
        <v>727</v>
      </c>
      <c r="G26" s="36">
        <f>'Mapa de Cotação - FWD, IRI, LVC'!$K$21</f>
        <v>362</v>
      </c>
      <c r="H26" s="37">
        <f>G26*F26</f>
        <v>263174</v>
      </c>
    </row>
    <row r="27" spans="1:13">
      <c r="A27" s="417"/>
      <c r="B27" s="44" t="s">
        <v>247</v>
      </c>
      <c r="C27" s="156" t="s">
        <v>402</v>
      </c>
      <c r="D27" s="49">
        <f>D10</f>
        <v>1</v>
      </c>
      <c r="E27" s="50">
        <f>$F$10</f>
        <v>0.75</v>
      </c>
      <c r="F27" s="49">
        <f>D27*E27</f>
        <v>0.75</v>
      </c>
      <c r="G27" s="36">
        <f>(('Tabela DNIT-Consult-BDI'!$H$5*66)+('Tabela DNIT-Consult-BDI'!$I$5*116.49))</f>
        <v>3213.6885000000002</v>
      </c>
      <c r="H27" s="37">
        <f>G27*F27</f>
        <v>2410.2663750000002</v>
      </c>
    </row>
    <row r="28" spans="1:13">
      <c r="A28" s="417"/>
      <c r="B28" s="44" t="s">
        <v>401</v>
      </c>
      <c r="C28" s="156" t="s">
        <v>33</v>
      </c>
      <c r="D28" s="50">
        <f>(E10+E11)*D10*8</f>
        <v>16</v>
      </c>
      <c r="E28" s="50">
        <f>$F$10</f>
        <v>0.75</v>
      </c>
      <c r="F28" s="49">
        <f>D28*E28</f>
        <v>12</v>
      </c>
      <c r="G28" s="52">
        <f>Diárias!$E$5</f>
        <v>364.43999999999994</v>
      </c>
      <c r="H28" s="37">
        <f>G28*F28</f>
        <v>4373.2799999999988</v>
      </c>
    </row>
    <row r="29" spans="1:13">
      <c r="A29" s="417"/>
      <c r="B29" s="343" t="s">
        <v>4</v>
      </c>
      <c r="C29" s="343"/>
      <c r="D29" s="343"/>
      <c r="E29" s="343"/>
      <c r="F29" s="343"/>
      <c r="G29" s="343"/>
      <c r="H29" s="66">
        <f>SUM(H26:H28)</f>
        <v>269957.54637500003</v>
      </c>
    </row>
    <row r="30" spans="1:13">
      <c r="A30" s="417"/>
      <c r="B30" s="344" t="s">
        <v>646</v>
      </c>
      <c r="C30" s="344"/>
      <c r="D30" s="344"/>
      <c r="E30" s="344"/>
      <c r="F30" s="344"/>
      <c r="G30" s="344"/>
      <c r="H30" s="345"/>
    </row>
    <row r="31" spans="1:13">
      <c r="A31" s="417"/>
      <c r="B31" s="47" t="s">
        <v>581</v>
      </c>
      <c r="C31" s="156" t="s">
        <v>577</v>
      </c>
      <c r="D31" s="168">
        <f>'Mapa de Cotação - FWD, IRI, LVC'!X7</f>
        <v>681</v>
      </c>
      <c r="E31" s="50">
        <v>1</v>
      </c>
      <c r="F31" s="49">
        <f>D31*E31</f>
        <v>681</v>
      </c>
      <c r="G31" s="36">
        <f>'Mapa de Cotação - FWD, IRI, LVC'!$K$21</f>
        <v>362</v>
      </c>
      <c r="H31" s="37">
        <f>G31*F31</f>
        <v>246522</v>
      </c>
    </row>
    <row r="32" spans="1:13">
      <c r="A32" s="417"/>
      <c r="B32" s="44" t="s">
        <v>247</v>
      </c>
      <c r="C32" s="156" t="s">
        <v>402</v>
      </c>
      <c r="D32" s="49">
        <f>D14</f>
        <v>1</v>
      </c>
      <c r="E32" s="50">
        <f>$F$14</f>
        <v>0.7</v>
      </c>
      <c r="F32" s="49">
        <f>D32*E32</f>
        <v>0.7</v>
      </c>
      <c r="G32" s="36">
        <f>(('Tabela DNIT-Consult-BDI'!$H$5*66)+('Tabela DNIT-Consult-BDI'!$I$5*116.49))</f>
        <v>3213.6885000000002</v>
      </c>
      <c r="H32" s="37">
        <f>G32*F32</f>
        <v>2249.5819499999998</v>
      </c>
    </row>
    <row r="33" spans="1:14">
      <c r="A33" s="417"/>
      <c r="B33" s="44" t="s">
        <v>401</v>
      </c>
      <c r="C33" s="156" t="s">
        <v>33</v>
      </c>
      <c r="D33" s="50">
        <f>(E14+E15)*D14*8</f>
        <v>16</v>
      </c>
      <c r="E33" s="50">
        <f>$F$14</f>
        <v>0.7</v>
      </c>
      <c r="F33" s="49">
        <f>D33*E33</f>
        <v>11.2</v>
      </c>
      <c r="G33" s="52">
        <f>Diárias!$E$5</f>
        <v>364.43999999999994</v>
      </c>
      <c r="H33" s="37">
        <f>G33*F33</f>
        <v>4081.7279999999992</v>
      </c>
    </row>
    <row r="34" spans="1:14" ht="15.75" thickBot="1">
      <c r="A34" s="418"/>
      <c r="B34" s="346" t="s">
        <v>4</v>
      </c>
      <c r="C34" s="346"/>
      <c r="D34" s="346"/>
      <c r="E34" s="346"/>
      <c r="F34" s="346"/>
      <c r="G34" s="346"/>
      <c r="H34" s="67">
        <f>SUM(H31:H33)</f>
        <v>252853.30995</v>
      </c>
    </row>
    <row r="35" spans="1:14">
      <c r="A35" s="35"/>
      <c r="B35" s="415" t="s">
        <v>488</v>
      </c>
      <c r="C35" s="415"/>
      <c r="D35" s="415"/>
      <c r="E35" s="415"/>
      <c r="F35" s="415"/>
      <c r="G35" s="415"/>
      <c r="H35" s="415"/>
    </row>
    <row r="36" spans="1:14" ht="15.75" thickBot="1">
      <c r="A36" s="35"/>
    </row>
    <row r="37" spans="1:14" ht="21.75" thickBot="1">
      <c r="B37" s="396" t="s">
        <v>595</v>
      </c>
      <c r="C37" s="397"/>
      <c r="D37" s="397"/>
      <c r="E37" s="397"/>
      <c r="F37" s="398"/>
      <c r="H37" s="396" t="s">
        <v>596</v>
      </c>
      <c r="I37" s="397"/>
      <c r="J37" s="397"/>
      <c r="K37" s="397"/>
      <c r="L37" s="398"/>
      <c r="N37" s="30"/>
    </row>
    <row r="38" spans="1:14">
      <c r="B38" s="355" t="s">
        <v>1</v>
      </c>
      <c r="C38" s="356"/>
      <c r="D38" s="356"/>
      <c r="E38" s="356" t="s">
        <v>2</v>
      </c>
      <c r="F38" s="395"/>
      <c r="H38" s="355" t="s">
        <v>1</v>
      </c>
      <c r="I38" s="356"/>
      <c r="J38" s="356"/>
      <c r="K38" s="356" t="s">
        <v>2</v>
      </c>
      <c r="L38" s="395"/>
    </row>
    <row r="39" spans="1:14" ht="15.75" thickBot="1">
      <c r="B39" s="357"/>
      <c r="C39" s="358"/>
      <c r="D39" s="358"/>
      <c r="E39" s="53" t="s">
        <v>3</v>
      </c>
      <c r="F39" s="54" t="s">
        <v>4</v>
      </c>
      <c r="H39" s="357"/>
      <c r="I39" s="358"/>
      <c r="J39" s="358"/>
      <c r="K39" s="53" t="s">
        <v>3</v>
      </c>
      <c r="L39" s="54" t="s">
        <v>4</v>
      </c>
    </row>
    <row r="40" spans="1:14">
      <c r="B40" s="359" t="s">
        <v>398</v>
      </c>
      <c r="C40" s="360"/>
      <c r="D40" s="360"/>
      <c r="E40" s="360"/>
      <c r="F40" s="410">
        <f>SUM(E41:E42)</f>
        <v>12463.4856975</v>
      </c>
      <c r="H40" s="359" t="s">
        <v>398</v>
      </c>
      <c r="I40" s="360"/>
      <c r="J40" s="360"/>
      <c r="K40" s="360"/>
      <c r="L40" s="410">
        <f>SUM(K41:K42)</f>
        <v>18695.22854625</v>
      </c>
    </row>
    <row r="41" spans="1:14">
      <c r="B41" s="363" t="s">
        <v>5</v>
      </c>
      <c r="C41" s="378" t="s">
        <v>6</v>
      </c>
      <c r="D41" s="378"/>
      <c r="E41" s="83">
        <f>M6</f>
        <v>9780.6670974999997</v>
      </c>
      <c r="F41" s="411"/>
      <c r="H41" s="363" t="s">
        <v>5</v>
      </c>
      <c r="I41" s="378" t="s">
        <v>6</v>
      </c>
      <c r="J41" s="378"/>
      <c r="K41" s="83">
        <f>M10</f>
        <v>14671.000646249999</v>
      </c>
      <c r="L41" s="411"/>
      <c r="N41" s="30"/>
    </row>
    <row r="42" spans="1:14" ht="15.75" thickBot="1">
      <c r="B42" s="364"/>
      <c r="C42" s="378" t="s">
        <v>7</v>
      </c>
      <c r="D42" s="378"/>
      <c r="E42" s="83">
        <f>M7</f>
        <v>2682.8186000000005</v>
      </c>
      <c r="F42" s="412"/>
      <c r="H42" s="364"/>
      <c r="I42" s="378" t="s">
        <v>7</v>
      </c>
      <c r="J42" s="378"/>
      <c r="K42" s="83">
        <f>M11</f>
        <v>4024.2279000000008</v>
      </c>
      <c r="L42" s="412"/>
    </row>
    <row r="43" spans="1:14">
      <c r="B43" s="352" t="s">
        <v>414</v>
      </c>
      <c r="C43" s="353"/>
      <c r="D43" s="353"/>
      <c r="E43" s="354"/>
      <c r="F43" s="371">
        <f>SUM(E44)</f>
        <v>1525.5306493740002</v>
      </c>
      <c r="H43" s="352" t="s">
        <v>414</v>
      </c>
      <c r="I43" s="353"/>
      <c r="J43" s="353"/>
      <c r="K43" s="354"/>
      <c r="L43" s="371">
        <f>SUM(K44)</f>
        <v>2288.2959740610004</v>
      </c>
    </row>
    <row r="44" spans="1:14" ht="15.75" thickBot="1">
      <c r="B44" s="55" t="s">
        <v>8</v>
      </c>
      <c r="C44" s="77">
        <f>'Tabela DNIT-Consult-BDI'!$I$27/100</f>
        <v>0.12240000000000001</v>
      </c>
      <c r="D44" s="58" t="s">
        <v>9</v>
      </c>
      <c r="E44" s="84">
        <f>F40*C44</f>
        <v>1525.5306493740002</v>
      </c>
      <c r="F44" s="368"/>
      <c r="H44" s="55" t="s">
        <v>8</v>
      </c>
      <c r="I44" s="77">
        <f>'Tabela DNIT-Consult-BDI'!$I$27/100</f>
        <v>0.12240000000000001</v>
      </c>
      <c r="J44" s="58" t="s">
        <v>9</v>
      </c>
      <c r="K44" s="84">
        <f>L40*I44</f>
        <v>2288.2959740610004</v>
      </c>
      <c r="L44" s="368"/>
    </row>
    <row r="45" spans="1:14">
      <c r="B45" s="352" t="s">
        <v>415</v>
      </c>
      <c r="C45" s="353"/>
      <c r="D45" s="353"/>
      <c r="E45" s="354"/>
      <c r="F45" s="371">
        <f>SUM(E46:E48)</f>
        <v>176834.36424999998</v>
      </c>
      <c r="H45" s="352" t="s">
        <v>415</v>
      </c>
      <c r="I45" s="353"/>
      <c r="J45" s="353"/>
      <c r="K45" s="354"/>
      <c r="L45" s="371">
        <f>SUM(K46:K48)</f>
        <v>269957.54637500003</v>
      </c>
    </row>
    <row r="46" spans="1:14">
      <c r="B46" s="373" t="s">
        <v>584</v>
      </c>
      <c r="C46" s="374"/>
      <c r="D46" s="374"/>
      <c r="E46" s="83">
        <f>H21</f>
        <v>172312</v>
      </c>
      <c r="F46" s="372"/>
      <c r="H46" s="373" t="s">
        <v>584</v>
      </c>
      <c r="I46" s="374"/>
      <c r="J46" s="374"/>
      <c r="K46" s="83">
        <f>H26</f>
        <v>263174</v>
      </c>
      <c r="L46" s="372"/>
    </row>
    <row r="47" spans="1:14">
      <c r="B47" s="373" t="s">
        <v>578</v>
      </c>
      <c r="C47" s="374"/>
      <c r="D47" s="374"/>
      <c r="E47" s="83">
        <f>H22</f>
        <v>1606.8442500000001</v>
      </c>
      <c r="F47" s="372"/>
      <c r="H47" s="373" t="s">
        <v>486</v>
      </c>
      <c r="I47" s="374"/>
      <c r="J47" s="374"/>
      <c r="K47" s="83">
        <f>H27</f>
        <v>2410.2663750000002</v>
      </c>
      <c r="L47" s="372"/>
    </row>
    <row r="48" spans="1:14" ht="15.75" thickBot="1">
      <c r="B48" s="375" t="s">
        <v>579</v>
      </c>
      <c r="C48" s="376"/>
      <c r="D48" s="377"/>
      <c r="E48" s="83">
        <f>H23</f>
        <v>2915.5199999999995</v>
      </c>
      <c r="F48" s="368"/>
      <c r="H48" s="375" t="s">
        <v>487</v>
      </c>
      <c r="I48" s="376"/>
      <c r="J48" s="377"/>
      <c r="K48" s="83">
        <f>H28</f>
        <v>4373.2799999999988</v>
      </c>
      <c r="L48" s="368"/>
    </row>
    <row r="49" spans="2:12">
      <c r="B49" s="347" t="s">
        <v>10</v>
      </c>
      <c r="C49" s="348"/>
      <c r="D49" s="349"/>
      <c r="E49" s="57" t="s">
        <v>417</v>
      </c>
      <c r="F49" s="75">
        <f>F45+F43+F40</f>
        <v>190823.38059687399</v>
      </c>
      <c r="H49" s="347" t="s">
        <v>10</v>
      </c>
      <c r="I49" s="348"/>
      <c r="J49" s="349"/>
      <c r="K49" s="57" t="s">
        <v>417</v>
      </c>
      <c r="L49" s="75">
        <f>L45+L43+L40</f>
        <v>290941.07089531107</v>
      </c>
    </row>
    <row r="50" spans="2:12">
      <c r="B50" s="350" t="s">
        <v>11</v>
      </c>
      <c r="C50" s="351"/>
      <c r="D50" s="351"/>
      <c r="E50" s="400"/>
      <c r="F50" s="362">
        <f>D51*F49</f>
        <v>22898.805671624879</v>
      </c>
      <c r="H50" s="350" t="s">
        <v>11</v>
      </c>
      <c r="I50" s="351"/>
      <c r="J50" s="351"/>
      <c r="K50" s="400"/>
      <c r="L50" s="362">
        <f>J51*L49</f>
        <v>34912.928507437326</v>
      </c>
    </row>
    <row r="51" spans="2:12">
      <c r="B51" s="365" t="s">
        <v>8</v>
      </c>
      <c r="C51" s="366"/>
      <c r="D51" s="77">
        <f>'Tabela DNIT-Consult-BDI'!$I$30/100</f>
        <v>0.12</v>
      </c>
      <c r="E51" s="49" t="s">
        <v>12</v>
      </c>
      <c r="F51" s="362"/>
      <c r="H51" s="365" t="s">
        <v>8</v>
      </c>
      <c r="I51" s="366"/>
      <c r="J51" s="77">
        <f>'Tabela DNIT-Consult-BDI'!$I$30/100</f>
        <v>0.12</v>
      </c>
      <c r="K51" s="49" t="s">
        <v>12</v>
      </c>
      <c r="L51" s="362"/>
    </row>
    <row r="52" spans="2:12">
      <c r="B52" s="350" t="s">
        <v>13</v>
      </c>
      <c r="C52" s="351"/>
      <c r="D52" s="351"/>
      <c r="E52" s="400"/>
      <c r="F52" s="367">
        <f>D53*(F49+F50)</f>
        <v>44112.259245818168</v>
      </c>
      <c r="H52" s="350" t="s">
        <v>13</v>
      </c>
      <c r="I52" s="351"/>
      <c r="J52" s="351"/>
      <c r="K52" s="400"/>
      <c r="L52" s="367">
        <f>J53*(L49+L50)</f>
        <v>67256.265476727276</v>
      </c>
    </row>
    <row r="53" spans="2:12" ht="15.75" thickBot="1">
      <c r="B53" s="369" t="s">
        <v>8</v>
      </c>
      <c r="C53" s="370"/>
      <c r="D53" s="77">
        <f>'Tabela DNIT-Consult-BDI'!$I$35/100</f>
        <v>0.2064</v>
      </c>
      <c r="E53" s="58" t="s">
        <v>14</v>
      </c>
      <c r="F53" s="368"/>
      <c r="H53" s="369" t="s">
        <v>8</v>
      </c>
      <c r="I53" s="370"/>
      <c r="J53" s="77">
        <f>'Tabela DNIT-Consult-BDI'!$I$35/100</f>
        <v>0.2064</v>
      </c>
      <c r="K53" s="58" t="s">
        <v>14</v>
      </c>
      <c r="L53" s="368"/>
    </row>
    <row r="54" spans="2:12">
      <c r="B54" s="347" t="s">
        <v>588</v>
      </c>
      <c r="C54" s="348"/>
      <c r="D54" s="348"/>
      <c r="E54" s="349"/>
      <c r="F54" s="371">
        <f>E55</f>
        <v>9266.8651147445835</v>
      </c>
      <c r="H54" s="347" t="s">
        <v>588</v>
      </c>
      <c r="I54" s="348"/>
      <c r="J54" s="348"/>
      <c r="K54" s="349"/>
      <c r="L54" s="371">
        <f>K55</f>
        <v>10921.493156784245</v>
      </c>
    </row>
    <row r="55" spans="2:12" ht="15.75" thickBot="1">
      <c r="B55" s="403" t="s">
        <v>586</v>
      </c>
      <c r="C55" s="404"/>
      <c r="D55" s="405"/>
      <c r="E55" s="139">
        <f>'CPU_Eq. Coord.'!F76</f>
        <v>9266.8651147445835</v>
      </c>
      <c r="F55" s="368"/>
      <c r="H55" s="403" t="s">
        <v>586</v>
      </c>
      <c r="I55" s="404"/>
      <c r="J55" s="405"/>
      <c r="K55" s="139">
        <f>'CPU_Eq. Coord.'!L76</f>
        <v>10921.493156784245</v>
      </c>
      <c r="L55" s="368"/>
    </row>
    <row r="56" spans="2:12" ht="15.75" thickBot="1">
      <c r="B56" s="337" t="s">
        <v>592</v>
      </c>
      <c r="C56" s="338"/>
      <c r="D56" s="339"/>
      <c r="E56" s="62" t="s">
        <v>587</v>
      </c>
      <c r="F56" s="76">
        <f>F49+F50+F52+F54</f>
        <v>267101.3106290616</v>
      </c>
      <c r="H56" s="337" t="s">
        <v>592</v>
      </c>
      <c r="I56" s="338"/>
      <c r="J56" s="339"/>
      <c r="K56" s="62" t="s">
        <v>587</v>
      </c>
      <c r="L56" s="76">
        <f>L49+L50+L52+L54</f>
        <v>404031.75803625997</v>
      </c>
    </row>
    <row r="58" spans="2:12" ht="15.75" thickBot="1"/>
    <row r="59" spans="2:12" ht="21.75" thickBot="1">
      <c r="B59" s="396" t="s">
        <v>649</v>
      </c>
      <c r="C59" s="397"/>
      <c r="D59" s="397"/>
      <c r="E59" s="397"/>
      <c r="F59" s="398"/>
    </row>
    <row r="60" spans="2:12">
      <c r="B60" s="355" t="s">
        <v>1</v>
      </c>
      <c r="C60" s="356"/>
      <c r="D60" s="356"/>
      <c r="E60" s="356" t="s">
        <v>2</v>
      </c>
      <c r="F60" s="395"/>
    </row>
    <row r="61" spans="2:12" ht="15.75" thickBot="1">
      <c r="B61" s="357"/>
      <c r="C61" s="358"/>
      <c r="D61" s="358"/>
      <c r="E61" s="153" t="s">
        <v>3</v>
      </c>
      <c r="F61" s="54" t="s">
        <v>4</v>
      </c>
    </row>
    <row r="62" spans="2:12">
      <c r="B62" s="359" t="s">
        <v>398</v>
      </c>
      <c r="C62" s="360"/>
      <c r="D62" s="360"/>
      <c r="E62" s="360"/>
      <c r="F62" s="410">
        <f>SUM(E63:E64)</f>
        <v>17448.8799765</v>
      </c>
    </row>
    <row r="63" spans="2:12">
      <c r="B63" s="363" t="s">
        <v>5</v>
      </c>
      <c r="C63" s="378" t="s">
        <v>6</v>
      </c>
      <c r="D63" s="378"/>
      <c r="E63" s="83">
        <f>M14</f>
        <v>13692.933936499998</v>
      </c>
      <c r="F63" s="411"/>
    </row>
    <row r="64" spans="2:12" ht="15.75" thickBot="1">
      <c r="B64" s="364"/>
      <c r="C64" s="378" t="s">
        <v>7</v>
      </c>
      <c r="D64" s="378"/>
      <c r="E64" s="83">
        <f>M15</f>
        <v>3755.9460400000007</v>
      </c>
      <c r="F64" s="412"/>
    </row>
    <row r="65" spans="2:6">
      <c r="B65" s="352" t="s">
        <v>414</v>
      </c>
      <c r="C65" s="353"/>
      <c r="D65" s="353"/>
      <c r="E65" s="354"/>
      <c r="F65" s="371">
        <f>SUM(E66)</f>
        <v>2135.7429091236004</v>
      </c>
    </row>
    <row r="66" spans="2:6" ht="15.75" thickBot="1">
      <c r="B66" s="55" t="s">
        <v>8</v>
      </c>
      <c r="C66" s="77">
        <f>'Tabela DNIT-Consult-BDI'!$I$27/100</f>
        <v>0.12240000000000001</v>
      </c>
      <c r="D66" s="58" t="s">
        <v>9</v>
      </c>
      <c r="E66" s="84">
        <f>F62*C66</f>
        <v>2135.7429091236004</v>
      </c>
      <c r="F66" s="368"/>
    </row>
    <row r="67" spans="2:6">
      <c r="B67" s="352" t="s">
        <v>415</v>
      </c>
      <c r="C67" s="353"/>
      <c r="D67" s="353"/>
      <c r="E67" s="354"/>
      <c r="F67" s="371">
        <f>SUM(E68:E70)</f>
        <v>252853.30995</v>
      </c>
    </row>
    <row r="68" spans="2:6">
      <c r="B68" s="373" t="s">
        <v>584</v>
      </c>
      <c r="C68" s="374"/>
      <c r="D68" s="374"/>
      <c r="E68" s="83">
        <f>H31</f>
        <v>246522</v>
      </c>
      <c r="F68" s="372"/>
    </row>
    <row r="69" spans="2:6">
      <c r="B69" s="373" t="s">
        <v>486</v>
      </c>
      <c r="C69" s="374"/>
      <c r="D69" s="374"/>
      <c r="E69" s="83">
        <f>H32</f>
        <v>2249.5819499999998</v>
      </c>
      <c r="F69" s="372"/>
    </row>
    <row r="70" spans="2:6" ht="15.75" thickBot="1">
      <c r="B70" s="375" t="s">
        <v>487</v>
      </c>
      <c r="C70" s="376"/>
      <c r="D70" s="377"/>
      <c r="E70" s="83">
        <f>H33</f>
        <v>4081.7279999999992</v>
      </c>
      <c r="F70" s="368"/>
    </row>
    <row r="71" spans="2:6">
      <c r="B71" s="347" t="s">
        <v>10</v>
      </c>
      <c r="C71" s="348"/>
      <c r="D71" s="349"/>
      <c r="E71" s="152" t="s">
        <v>417</v>
      </c>
      <c r="F71" s="154">
        <f>F67+F65+F62</f>
        <v>272437.93283562362</v>
      </c>
    </row>
    <row r="72" spans="2:6">
      <c r="B72" s="350" t="s">
        <v>11</v>
      </c>
      <c r="C72" s="351"/>
      <c r="D72" s="351"/>
      <c r="E72" s="400"/>
      <c r="F72" s="362">
        <f>D73*F71</f>
        <v>32692.551940274832</v>
      </c>
    </row>
    <row r="73" spans="2:6">
      <c r="B73" s="365" t="s">
        <v>8</v>
      </c>
      <c r="C73" s="366"/>
      <c r="D73" s="77">
        <f>'Tabela DNIT-Consult-BDI'!$I$30/100</f>
        <v>0.12</v>
      </c>
      <c r="E73" s="49" t="s">
        <v>12</v>
      </c>
      <c r="F73" s="362"/>
    </row>
    <row r="74" spans="2:6">
      <c r="B74" s="350" t="s">
        <v>13</v>
      </c>
      <c r="C74" s="351"/>
      <c r="D74" s="351"/>
      <c r="E74" s="400"/>
      <c r="F74" s="367">
        <f>D75*(F71+F72)</f>
        <v>62978.932057745442</v>
      </c>
    </row>
    <row r="75" spans="2:6" ht="15.75" thickBot="1">
      <c r="B75" s="369" t="s">
        <v>8</v>
      </c>
      <c r="C75" s="370"/>
      <c r="D75" s="77">
        <f>'Tabela DNIT-Consult-BDI'!$I$35/100</f>
        <v>0.2064</v>
      </c>
      <c r="E75" s="58" t="s">
        <v>14</v>
      </c>
      <c r="F75" s="368"/>
    </row>
    <row r="76" spans="2:6">
      <c r="B76" s="347" t="s">
        <v>588</v>
      </c>
      <c r="C76" s="348"/>
      <c r="D76" s="348"/>
      <c r="E76" s="349"/>
      <c r="F76" s="371">
        <f>E77</f>
        <v>20968.323465394224</v>
      </c>
    </row>
    <row r="77" spans="2:6" ht="15.75" thickBot="1">
      <c r="B77" s="403" t="s">
        <v>586</v>
      </c>
      <c r="C77" s="404"/>
      <c r="D77" s="405"/>
      <c r="E77" s="139">
        <f>'CPU_Eq. Coord.'!R76</f>
        <v>20968.323465394224</v>
      </c>
      <c r="F77" s="368"/>
    </row>
    <row r="78" spans="2:6" ht="15.75" thickBot="1">
      <c r="B78" s="337" t="s">
        <v>592</v>
      </c>
      <c r="C78" s="338"/>
      <c r="D78" s="339"/>
      <c r="E78" s="62" t="s">
        <v>587</v>
      </c>
      <c r="F78" s="76">
        <f>F71+F72+F74+F76</f>
        <v>389077.74029903812</v>
      </c>
    </row>
  </sheetData>
  <mergeCells count="100">
    <mergeCell ref="I41:J41"/>
    <mergeCell ref="I42:J42"/>
    <mergeCell ref="B37:F37"/>
    <mergeCell ref="B20:H20"/>
    <mergeCell ref="B25:H25"/>
    <mergeCell ref="B24:G24"/>
    <mergeCell ref="B29:G29"/>
    <mergeCell ref="B34:G34"/>
    <mergeCell ref="E38:F38"/>
    <mergeCell ref="H41:H42"/>
    <mergeCell ref="B53:C53"/>
    <mergeCell ref="B35:H35"/>
    <mergeCell ref="H37:L37"/>
    <mergeCell ref="H38:J39"/>
    <mergeCell ref="B49:D49"/>
    <mergeCell ref="H50:K50"/>
    <mergeCell ref="H49:J49"/>
    <mergeCell ref="F50:F51"/>
    <mergeCell ref="B51:C51"/>
    <mergeCell ref="K38:L38"/>
    <mergeCell ref="H40:K40"/>
    <mergeCell ref="L40:L42"/>
    <mergeCell ref="L43:L44"/>
    <mergeCell ref="H45:K45"/>
    <mergeCell ref="L45:L48"/>
    <mergeCell ref="H47:J47"/>
    <mergeCell ref="A1:M1"/>
    <mergeCell ref="A2:M2"/>
    <mergeCell ref="A3:M3"/>
    <mergeCell ref="B5:M5"/>
    <mergeCell ref="D6:D7"/>
    <mergeCell ref="D14:D15"/>
    <mergeCell ref="B16:H16"/>
    <mergeCell ref="A5:A16"/>
    <mergeCell ref="B30:H30"/>
    <mergeCell ref="A18:H18"/>
    <mergeCell ref="B8:H8"/>
    <mergeCell ref="B9:M9"/>
    <mergeCell ref="D10:D11"/>
    <mergeCell ref="B12:H12"/>
    <mergeCell ref="B13:M13"/>
    <mergeCell ref="H48:J48"/>
    <mergeCell ref="H46:J46"/>
    <mergeCell ref="L54:L55"/>
    <mergeCell ref="H55:J55"/>
    <mergeCell ref="B56:D56"/>
    <mergeCell ref="B52:E52"/>
    <mergeCell ref="B50:E50"/>
    <mergeCell ref="L50:L51"/>
    <mergeCell ref="H51:I51"/>
    <mergeCell ref="L52:L53"/>
    <mergeCell ref="H53:I53"/>
    <mergeCell ref="H56:J56"/>
    <mergeCell ref="H54:K54"/>
    <mergeCell ref="B54:E54"/>
    <mergeCell ref="F54:F55"/>
    <mergeCell ref="B55:D55"/>
    <mergeCell ref="H52:K52"/>
    <mergeCell ref="F52:F53"/>
    <mergeCell ref="H43:K43"/>
    <mergeCell ref="B38:D39"/>
    <mergeCell ref="B43:E43"/>
    <mergeCell ref="F43:F44"/>
    <mergeCell ref="B45:E45"/>
    <mergeCell ref="F45:F48"/>
    <mergeCell ref="B47:D47"/>
    <mergeCell ref="B48:D48"/>
    <mergeCell ref="B46:D46"/>
    <mergeCell ref="B40:E40"/>
    <mergeCell ref="F40:F42"/>
    <mergeCell ref="B41:B42"/>
    <mergeCell ref="C41:D41"/>
    <mergeCell ref="C42:D42"/>
    <mergeCell ref="B69:D69"/>
    <mergeCell ref="B70:D70"/>
    <mergeCell ref="B59:F59"/>
    <mergeCell ref="B60:D61"/>
    <mergeCell ref="E60:F60"/>
    <mergeCell ref="B62:E62"/>
    <mergeCell ref="F62:F64"/>
    <mergeCell ref="B63:B64"/>
    <mergeCell ref="C63:D63"/>
    <mergeCell ref="C64:D64"/>
    <mergeCell ref="B68:D68"/>
    <mergeCell ref="B76:E76"/>
    <mergeCell ref="F76:F77"/>
    <mergeCell ref="B77:D77"/>
    <mergeCell ref="B78:D78"/>
    <mergeCell ref="A20:A34"/>
    <mergeCell ref="B71:D71"/>
    <mergeCell ref="B72:E72"/>
    <mergeCell ref="F72:F73"/>
    <mergeCell ref="B73:C73"/>
    <mergeCell ref="B74:E74"/>
    <mergeCell ref="F74:F75"/>
    <mergeCell ref="B75:C75"/>
    <mergeCell ref="B65:E65"/>
    <mergeCell ref="F65:F66"/>
    <mergeCell ref="B67:E67"/>
    <mergeCell ref="F67:F70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1F7AE07-2CB4-4847-85C4-F96976976FCF}">
  <sheetPr>
    <tabColor theme="9"/>
  </sheetPr>
  <dimension ref="A1:N73"/>
  <sheetViews>
    <sheetView zoomScale="80" zoomScaleNormal="80" workbookViewId="0">
      <selection activeCell="B29" sqref="B29"/>
    </sheetView>
  </sheetViews>
  <sheetFormatPr defaultRowHeight="15"/>
  <cols>
    <col min="1" max="1" width="8.85546875" style="27" customWidth="1"/>
    <col min="2" max="2" width="42.5703125" style="27" customWidth="1"/>
    <col min="3" max="3" width="19.85546875" style="27" customWidth="1"/>
    <col min="4" max="4" width="18.28515625" style="27" customWidth="1"/>
    <col min="5" max="5" width="17.42578125" style="27" customWidth="1"/>
    <col min="6" max="7" width="15.42578125" style="27" customWidth="1"/>
    <col min="8" max="8" width="15" style="27" customWidth="1"/>
    <col min="9" max="9" width="21.85546875" style="27" customWidth="1"/>
    <col min="10" max="10" width="15.5703125" style="27" customWidth="1"/>
    <col min="11" max="11" width="21.5703125" style="27" customWidth="1"/>
    <col min="12" max="12" width="20.28515625" style="27" customWidth="1"/>
    <col min="13" max="13" width="18.5703125" style="27" customWidth="1"/>
    <col min="14" max="14" width="9.140625" style="27"/>
    <col min="15" max="15" width="21.85546875" style="27" customWidth="1"/>
    <col min="16" max="16" width="13.5703125" style="27" customWidth="1"/>
    <col min="17" max="18" width="20.28515625" style="27" customWidth="1"/>
    <col min="19" max="19" width="18.5703125" style="27" customWidth="1"/>
    <col min="20" max="16384" width="9.140625" style="27"/>
  </cols>
  <sheetData>
    <row r="1" spans="1:13" ht="30.75" customHeight="1">
      <c r="A1" s="384" t="s">
        <v>396</v>
      </c>
      <c r="B1" s="384"/>
      <c r="C1" s="384"/>
      <c r="D1" s="384"/>
      <c r="E1" s="384"/>
      <c r="F1" s="384"/>
      <c r="G1" s="384"/>
      <c r="H1" s="384"/>
      <c r="I1" s="384"/>
      <c r="J1" s="384"/>
      <c r="K1" s="384"/>
      <c r="L1" s="384"/>
      <c r="M1" s="384"/>
    </row>
    <row r="2" spans="1:13" ht="28.5" customHeight="1" thickBot="1">
      <c r="A2" s="409" t="s">
        <v>659</v>
      </c>
      <c r="B2" s="409"/>
      <c r="C2" s="409"/>
      <c r="D2" s="409"/>
      <c r="E2" s="409"/>
      <c r="F2" s="409"/>
      <c r="G2" s="409"/>
      <c r="H2" s="409"/>
      <c r="I2" s="409"/>
      <c r="J2" s="409"/>
      <c r="K2" s="409"/>
      <c r="L2" s="409"/>
      <c r="M2" s="409"/>
    </row>
    <row r="3" spans="1:13">
      <c r="A3" s="386" t="s">
        <v>397</v>
      </c>
      <c r="B3" s="387"/>
      <c r="C3" s="387"/>
      <c r="D3" s="387"/>
      <c r="E3" s="387"/>
      <c r="F3" s="387"/>
      <c r="G3" s="387"/>
      <c r="H3" s="387"/>
      <c r="I3" s="387"/>
      <c r="J3" s="387"/>
      <c r="K3" s="387"/>
      <c r="L3" s="387"/>
      <c r="M3" s="388"/>
    </row>
    <row r="4" spans="1:13" s="32" customFormat="1" ht="60">
      <c r="A4" s="155" t="s">
        <v>378</v>
      </c>
      <c r="B4" s="68" t="s">
        <v>306</v>
      </c>
      <c r="C4" s="68" t="s">
        <v>307</v>
      </c>
      <c r="D4" s="68" t="s">
        <v>377</v>
      </c>
      <c r="E4" s="68" t="s">
        <v>308</v>
      </c>
      <c r="F4" s="68" t="s">
        <v>309</v>
      </c>
      <c r="G4" s="68" t="s">
        <v>758</v>
      </c>
      <c r="H4" s="68" t="s">
        <v>310</v>
      </c>
      <c r="I4" s="68" t="s">
        <v>311</v>
      </c>
      <c r="J4" s="68" t="s">
        <v>312</v>
      </c>
      <c r="K4" s="68" t="s">
        <v>319</v>
      </c>
      <c r="L4" s="68" t="s">
        <v>320</v>
      </c>
      <c r="M4" s="72" t="s">
        <v>321</v>
      </c>
    </row>
    <row r="5" spans="1:13" ht="17.25">
      <c r="A5" s="389" t="s">
        <v>489</v>
      </c>
      <c r="B5" s="340" t="s">
        <v>314</v>
      </c>
      <c r="C5" s="340"/>
      <c r="D5" s="340"/>
      <c r="E5" s="340"/>
      <c r="F5" s="340"/>
      <c r="G5" s="340"/>
      <c r="H5" s="340"/>
      <c r="I5" s="340"/>
      <c r="J5" s="340"/>
      <c r="K5" s="340"/>
      <c r="L5" s="340"/>
      <c r="M5" s="341"/>
    </row>
    <row r="6" spans="1:13" s="33" customFormat="1" ht="17.25">
      <c r="A6" s="389"/>
      <c r="B6" s="71" t="s">
        <v>155</v>
      </c>
      <c r="C6" s="156" t="s">
        <v>35</v>
      </c>
      <c r="D6" s="342">
        <v>1</v>
      </c>
      <c r="E6" s="156">
        <v>1</v>
      </c>
      <c r="F6" s="50">
        <f t="shared" ref="F6:F7" si="0">15/30</f>
        <v>0.5</v>
      </c>
      <c r="G6" s="50">
        <f>D6*E6*F6*176</f>
        <v>88</v>
      </c>
      <c r="H6" s="36">
        <f>VLOOKUP(C6,'Tabela DNIT-Consult-MO'!$A:$D,4,FALSE)</f>
        <v>10864.39</v>
      </c>
      <c r="I6" s="36">
        <f>F6*H6*$D$6*E6</f>
        <v>5432.1949999999997</v>
      </c>
      <c r="J6" s="70">
        <f>VLOOKUP(C6,'Tabela DNIT-Consult-MO'!$A:$F,5,FALSE)</f>
        <v>0.80049999999999999</v>
      </c>
      <c r="K6" s="36">
        <f>H6*J6</f>
        <v>8696.944195</v>
      </c>
      <c r="L6" s="36">
        <f>I6*J6</f>
        <v>4348.4720975</v>
      </c>
      <c r="M6" s="37">
        <f>I6+L6</f>
        <v>9780.6670974999997</v>
      </c>
    </row>
    <row r="7" spans="1:13">
      <c r="A7" s="389"/>
      <c r="B7" s="69" t="s">
        <v>28</v>
      </c>
      <c r="C7" s="156" t="s">
        <v>29</v>
      </c>
      <c r="D7" s="342"/>
      <c r="E7" s="156">
        <v>1</v>
      </c>
      <c r="F7" s="50">
        <f t="shared" si="0"/>
        <v>0.5</v>
      </c>
      <c r="G7" s="50">
        <f>D6*E7*F7*176</f>
        <v>88</v>
      </c>
      <c r="H7" s="36">
        <f>VLOOKUP(C7,'Tabela DNIT-Consult-MO'!$A:$D,4,FALSE)</f>
        <v>2974.3</v>
      </c>
      <c r="I7" s="36">
        <f>F7*H7*$D$6*E7</f>
        <v>1487.15</v>
      </c>
      <c r="J7" s="70">
        <f>VLOOKUP(C7,'Tabela DNIT-Consult-MO'!$A:$F,5,FALSE)</f>
        <v>0.80400000000000005</v>
      </c>
      <c r="K7" s="36">
        <f>H7*J7</f>
        <v>2391.3372000000004</v>
      </c>
      <c r="L7" s="36">
        <f>I7*J7</f>
        <v>1195.6686000000002</v>
      </c>
      <c r="M7" s="37">
        <f>I7+L7</f>
        <v>2682.8186000000005</v>
      </c>
    </row>
    <row r="8" spans="1:13">
      <c r="A8" s="389"/>
      <c r="B8" s="343" t="s">
        <v>4</v>
      </c>
      <c r="C8" s="343"/>
      <c r="D8" s="343"/>
      <c r="E8" s="343"/>
      <c r="F8" s="343"/>
      <c r="G8" s="343"/>
      <c r="H8" s="343"/>
      <c r="I8" s="51">
        <f>SUM(I6:I7)</f>
        <v>6919.3449999999993</v>
      </c>
      <c r="J8" s="44"/>
      <c r="K8" s="44"/>
      <c r="L8" s="44"/>
      <c r="M8" s="41">
        <f>SUM(M6:M7)</f>
        <v>12463.4856975</v>
      </c>
    </row>
    <row r="9" spans="1:13" ht="17.25">
      <c r="A9" s="389"/>
      <c r="B9" s="340" t="s">
        <v>440</v>
      </c>
      <c r="C9" s="340"/>
      <c r="D9" s="340"/>
      <c r="E9" s="340"/>
      <c r="F9" s="340"/>
      <c r="G9" s="340"/>
      <c r="H9" s="340"/>
      <c r="I9" s="340"/>
      <c r="J9" s="340"/>
      <c r="K9" s="340"/>
      <c r="L9" s="340"/>
      <c r="M9" s="341"/>
    </row>
    <row r="10" spans="1:13">
      <c r="A10" s="389"/>
      <c r="B10" s="71" t="s">
        <v>608</v>
      </c>
      <c r="C10" s="156" t="s">
        <v>35</v>
      </c>
      <c r="D10" s="342">
        <v>1</v>
      </c>
      <c r="E10" s="156">
        <v>1</v>
      </c>
      <c r="F10" s="50">
        <f>22.5/30</f>
        <v>0.75</v>
      </c>
      <c r="G10" s="50">
        <f>D10*E10*F10*176</f>
        <v>132</v>
      </c>
      <c r="H10" s="36">
        <f>VLOOKUP(C10,'Tabela DNIT-Consult-MO'!$A:$D,4,FALSE)</f>
        <v>10864.39</v>
      </c>
      <c r="I10" s="36">
        <f>F10*H10*$D$10*E10</f>
        <v>8148.2924999999996</v>
      </c>
      <c r="J10" s="70">
        <f>VLOOKUP(C10,'Tabela DNIT-Consult-MO'!$A:$F,5,FALSE)</f>
        <v>0.80049999999999999</v>
      </c>
      <c r="K10" s="36">
        <f>H10*J10</f>
        <v>8696.944195</v>
      </c>
      <c r="L10" s="36">
        <f>I10*J10</f>
        <v>6522.7081462499991</v>
      </c>
      <c r="M10" s="37">
        <f>I10+L10</f>
        <v>14671.000646249999</v>
      </c>
    </row>
    <row r="11" spans="1:13">
      <c r="A11" s="389"/>
      <c r="B11" s="69" t="s">
        <v>28</v>
      </c>
      <c r="C11" s="156" t="s">
        <v>29</v>
      </c>
      <c r="D11" s="342"/>
      <c r="E11" s="156">
        <v>1</v>
      </c>
      <c r="F11" s="50">
        <f>22.5/30</f>
        <v>0.75</v>
      </c>
      <c r="G11" s="50">
        <f>D10*E11*F11*176</f>
        <v>132</v>
      </c>
      <c r="H11" s="36">
        <f>VLOOKUP(C11,'Tabela DNIT-Consult-MO'!$A:$D,4,FALSE)</f>
        <v>2974.3</v>
      </c>
      <c r="I11" s="36">
        <f>F11*H11*$D$10*E11</f>
        <v>2230.7250000000004</v>
      </c>
      <c r="J11" s="70">
        <f>VLOOKUP(C11,'Tabela DNIT-Consult-MO'!$A:$F,5,FALSE)</f>
        <v>0.80400000000000005</v>
      </c>
      <c r="K11" s="36">
        <f>H11*J11</f>
        <v>2391.3372000000004</v>
      </c>
      <c r="L11" s="36">
        <f>I11*J11</f>
        <v>1793.5029000000004</v>
      </c>
      <c r="M11" s="37">
        <f>I11+L11</f>
        <v>4024.2279000000008</v>
      </c>
    </row>
    <row r="12" spans="1:13">
      <c r="A12" s="389"/>
      <c r="B12" s="343" t="s">
        <v>4</v>
      </c>
      <c r="C12" s="343"/>
      <c r="D12" s="343"/>
      <c r="E12" s="343"/>
      <c r="F12" s="343"/>
      <c r="G12" s="343"/>
      <c r="H12" s="343"/>
      <c r="I12" s="51">
        <f>SUM(I10:I11)</f>
        <v>10379.0175</v>
      </c>
      <c r="J12" s="44"/>
      <c r="K12" s="44"/>
      <c r="L12" s="44"/>
      <c r="M12" s="41">
        <f>SUM(M10:M11)</f>
        <v>18695.22854625</v>
      </c>
    </row>
    <row r="13" spans="1:13" ht="17.25">
      <c r="A13" s="389"/>
      <c r="B13" s="340" t="s">
        <v>650</v>
      </c>
      <c r="C13" s="340"/>
      <c r="D13" s="340"/>
      <c r="E13" s="340"/>
      <c r="F13" s="340"/>
      <c r="G13" s="340"/>
      <c r="H13" s="340"/>
      <c r="I13" s="340"/>
      <c r="J13" s="340"/>
      <c r="K13" s="340"/>
      <c r="L13" s="340"/>
      <c r="M13" s="341"/>
    </row>
    <row r="14" spans="1:13">
      <c r="A14" s="389"/>
      <c r="B14" s="71" t="s">
        <v>608</v>
      </c>
      <c r="C14" s="156" t="s">
        <v>35</v>
      </c>
      <c r="D14" s="342">
        <v>1</v>
      </c>
      <c r="E14" s="156">
        <v>1</v>
      </c>
      <c r="F14" s="50">
        <f>21/30</f>
        <v>0.7</v>
      </c>
      <c r="G14" s="50">
        <f>D14*E14*F14*176</f>
        <v>123.19999999999999</v>
      </c>
      <c r="H14" s="36">
        <f>VLOOKUP(C14,'Tabela DNIT-Consult-MO'!$A:$D,4,FALSE)</f>
        <v>10864.39</v>
      </c>
      <c r="I14" s="36">
        <f>F14*H14*$D$14*E14</f>
        <v>7605.0729999999994</v>
      </c>
      <c r="J14" s="70">
        <f>VLOOKUP(C14,'Tabela DNIT-Consult-MO'!$A:$F,5,FALSE)</f>
        <v>0.80049999999999999</v>
      </c>
      <c r="K14" s="36">
        <f>H14*J14</f>
        <v>8696.944195</v>
      </c>
      <c r="L14" s="36">
        <f>I14*J14</f>
        <v>6087.8609364999993</v>
      </c>
      <c r="M14" s="37">
        <f>I14+L14</f>
        <v>13692.933936499998</v>
      </c>
    </row>
    <row r="15" spans="1:13">
      <c r="A15" s="389"/>
      <c r="B15" s="69" t="s">
        <v>28</v>
      </c>
      <c r="C15" s="156" t="s">
        <v>29</v>
      </c>
      <c r="D15" s="342"/>
      <c r="E15" s="156">
        <v>1</v>
      </c>
      <c r="F15" s="50">
        <f>21/30</f>
        <v>0.7</v>
      </c>
      <c r="G15" s="50">
        <f>D14*E15*F15*176</f>
        <v>123.19999999999999</v>
      </c>
      <c r="H15" s="36">
        <f>VLOOKUP(C15,'Tabela DNIT-Consult-MO'!$A:$D,4,FALSE)</f>
        <v>2974.3</v>
      </c>
      <c r="I15" s="36">
        <f>F15*H15*$D$14*E15</f>
        <v>2082.0100000000002</v>
      </c>
      <c r="J15" s="70">
        <f>VLOOKUP(C15,'Tabela DNIT-Consult-MO'!$A:$F,5,FALSE)</f>
        <v>0.80400000000000005</v>
      </c>
      <c r="K15" s="36">
        <f>H15*J15</f>
        <v>2391.3372000000004</v>
      </c>
      <c r="L15" s="36">
        <f>I15*J15</f>
        <v>1673.9360400000003</v>
      </c>
      <c r="M15" s="37">
        <f>I15+L15</f>
        <v>3755.9460400000007</v>
      </c>
    </row>
    <row r="16" spans="1:13" ht="15.75" thickBot="1">
      <c r="A16" s="390"/>
      <c r="B16" s="346" t="s">
        <v>4</v>
      </c>
      <c r="C16" s="346"/>
      <c r="D16" s="346"/>
      <c r="E16" s="346"/>
      <c r="F16" s="346"/>
      <c r="G16" s="346"/>
      <c r="H16" s="346"/>
      <c r="I16" s="73">
        <f>SUM(I14:I15)</f>
        <v>9687.0829999999987</v>
      </c>
      <c r="J16" s="74"/>
      <c r="K16" s="74"/>
      <c r="L16" s="74"/>
      <c r="M16" s="42">
        <f>SUM(M14:M15)</f>
        <v>17448.8799765</v>
      </c>
    </row>
    <row r="17" spans="1:13" ht="15.75" thickBot="1">
      <c r="A17" s="38"/>
      <c r="B17" s="39"/>
      <c r="C17" s="39"/>
      <c r="D17" s="39"/>
      <c r="E17" s="39"/>
      <c r="F17" s="39"/>
      <c r="G17" s="39"/>
      <c r="H17" s="39"/>
      <c r="I17" s="40"/>
      <c r="J17" s="26"/>
      <c r="K17" s="26"/>
      <c r="L17" s="26"/>
      <c r="M17" s="40"/>
    </row>
    <row r="18" spans="1:13">
      <c r="A18" s="392" t="s">
        <v>400</v>
      </c>
      <c r="B18" s="393"/>
      <c r="C18" s="393"/>
      <c r="D18" s="393"/>
      <c r="E18" s="393"/>
      <c r="F18" s="393"/>
      <c r="G18" s="393"/>
      <c r="H18" s="394"/>
    </row>
    <row r="19" spans="1:13" ht="60">
      <c r="A19" s="155" t="s">
        <v>378</v>
      </c>
      <c r="B19" s="45" t="s">
        <v>403</v>
      </c>
      <c r="C19" s="46" t="s">
        <v>404</v>
      </c>
      <c r="D19" s="46" t="s">
        <v>407</v>
      </c>
      <c r="E19" s="46" t="s">
        <v>405</v>
      </c>
      <c r="F19" s="46" t="s">
        <v>408</v>
      </c>
      <c r="G19" s="46" t="s">
        <v>406</v>
      </c>
      <c r="H19" s="64" t="s">
        <v>416</v>
      </c>
    </row>
    <row r="20" spans="1:13">
      <c r="A20" s="389" t="s">
        <v>490</v>
      </c>
      <c r="B20" s="344" t="s">
        <v>429</v>
      </c>
      <c r="C20" s="344"/>
      <c r="D20" s="344"/>
      <c r="E20" s="344"/>
      <c r="F20" s="344"/>
      <c r="G20" s="344"/>
      <c r="H20" s="345"/>
    </row>
    <row r="21" spans="1:13">
      <c r="A21" s="389"/>
      <c r="B21" s="44" t="s">
        <v>247</v>
      </c>
      <c r="C21" s="156" t="s">
        <v>402</v>
      </c>
      <c r="D21" s="49">
        <f>D6</f>
        <v>1</v>
      </c>
      <c r="E21" s="50">
        <f>$F$6</f>
        <v>0.5</v>
      </c>
      <c r="F21" s="49">
        <f>D21*E21</f>
        <v>0.5</v>
      </c>
      <c r="G21" s="36">
        <f>(('Tabela DNIT-Consult-BDI'!$H$5*66)+('Tabela DNIT-Consult-BDI'!$I$5*116.49))</f>
        <v>3213.6885000000002</v>
      </c>
      <c r="H21" s="37">
        <f>G21*F21</f>
        <v>1606.8442500000001</v>
      </c>
    </row>
    <row r="22" spans="1:13">
      <c r="A22" s="389"/>
      <c r="B22" s="44" t="s">
        <v>401</v>
      </c>
      <c r="C22" s="156" t="s">
        <v>33</v>
      </c>
      <c r="D22" s="50">
        <f>(E6+E7)*D6*8</f>
        <v>16</v>
      </c>
      <c r="E22" s="50">
        <f>$F$6</f>
        <v>0.5</v>
      </c>
      <c r="F22" s="49">
        <f>D22*E22</f>
        <v>8</v>
      </c>
      <c r="G22" s="52">
        <f>Diárias!$E$5</f>
        <v>364.43999999999994</v>
      </c>
      <c r="H22" s="37">
        <f>G22*F22</f>
        <v>2915.5199999999995</v>
      </c>
    </row>
    <row r="23" spans="1:13">
      <c r="A23" s="389"/>
      <c r="B23" s="343" t="s">
        <v>4</v>
      </c>
      <c r="C23" s="343"/>
      <c r="D23" s="343"/>
      <c r="E23" s="343"/>
      <c r="F23" s="343"/>
      <c r="G23" s="343"/>
      <c r="H23" s="66">
        <f>SUM(H21:H22)</f>
        <v>4522.3642499999996</v>
      </c>
    </row>
    <row r="24" spans="1:13">
      <c r="A24" s="389"/>
      <c r="B24" s="344" t="s">
        <v>432</v>
      </c>
      <c r="C24" s="344"/>
      <c r="D24" s="344"/>
      <c r="E24" s="344"/>
      <c r="F24" s="344"/>
      <c r="G24" s="344"/>
      <c r="H24" s="345"/>
    </row>
    <row r="25" spans="1:13">
      <c r="A25" s="389"/>
      <c r="B25" s="44" t="s">
        <v>247</v>
      </c>
      <c r="C25" s="156" t="s">
        <v>402</v>
      </c>
      <c r="D25" s="49">
        <f>D10</f>
        <v>1</v>
      </c>
      <c r="E25" s="50">
        <f>$F$10</f>
        <v>0.75</v>
      </c>
      <c r="F25" s="49">
        <f>D25*E25</f>
        <v>0.75</v>
      </c>
      <c r="G25" s="36">
        <f>(('Tabela DNIT-Consult-BDI'!$H$5*66)+('Tabela DNIT-Consult-BDI'!$I$5*116.49))</f>
        <v>3213.6885000000002</v>
      </c>
      <c r="H25" s="37">
        <f>G25*F25</f>
        <v>2410.2663750000002</v>
      </c>
    </row>
    <row r="26" spans="1:13">
      <c r="A26" s="389"/>
      <c r="B26" s="44" t="s">
        <v>401</v>
      </c>
      <c r="C26" s="156" t="s">
        <v>33</v>
      </c>
      <c r="D26" s="50">
        <f>(E10+E11)*D10*8</f>
        <v>16</v>
      </c>
      <c r="E26" s="50">
        <f>$F$10</f>
        <v>0.75</v>
      </c>
      <c r="F26" s="49">
        <f>D26*E26</f>
        <v>12</v>
      </c>
      <c r="G26" s="52">
        <f>Diárias!$E$5</f>
        <v>364.43999999999994</v>
      </c>
      <c r="H26" s="37">
        <f>G26*F26</f>
        <v>4373.2799999999988</v>
      </c>
    </row>
    <row r="27" spans="1:13">
      <c r="A27" s="389"/>
      <c r="B27" s="343" t="s">
        <v>4</v>
      </c>
      <c r="C27" s="343"/>
      <c r="D27" s="343"/>
      <c r="E27" s="343"/>
      <c r="F27" s="343"/>
      <c r="G27" s="343"/>
      <c r="H27" s="66">
        <f>SUM(H25:H26)</f>
        <v>6783.546374999999</v>
      </c>
    </row>
    <row r="28" spans="1:13">
      <c r="A28" s="389"/>
      <c r="B28" s="344" t="s">
        <v>646</v>
      </c>
      <c r="C28" s="344"/>
      <c r="D28" s="344"/>
      <c r="E28" s="344"/>
      <c r="F28" s="344"/>
      <c r="G28" s="344"/>
      <c r="H28" s="345"/>
    </row>
    <row r="29" spans="1:13">
      <c r="A29" s="389"/>
      <c r="B29" s="44" t="s">
        <v>247</v>
      </c>
      <c r="C29" s="156" t="s">
        <v>402</v>
      </c>
      <c r="D29" s="49">
        <f>D14</f>
        <v>1</v>
      </c>
      <c r="E29" s="50">
        <f>$F$14</f>
        <v>0.7</v>
      </c>
      <c r="F29" s="49">
        <f>D29*E29</f>
        <v>0.7</v>
      </c>
      <c r="G29" s="36">
        <f>(('Tabela DNIT-Consult-BDI'!$H$5*66)+('Tabela DNIT-Consult-BDI'!$I$5*116.49))</f>
        <v>3213.6885000000002</v>
      </c>
      <c r="H29" s="37">
        <f>G29*F29</f>
        <v>2249.5819499999998</v>
      </c>
    </row>
    <row r="30" spans="1:13">
      <c r="A30" s="389"/>
      <c r="B30" s="44" t="s">
        <v>401</v>
      </c>
      <c r="C30" s="156" t="s">
        <v>33</v>
      </c>
      <c r="D30" s="50">
        <f>(E14+E15)*D14*8</f>
        <v>16</v>
      </c>
      <c r="E30" s="50">
        <f>$F$14</f>
        <v>0.7</v>
      </c>
      <c r="F30" s="49">
        <f>D30*E30</f>
        <v>11.2</v>
      </c>
      <c r="G30" s="52">
        <f>Diárias!$E$5</f>
        <v>364.43999999999994</v>
      </c>
      <c r="H30" s="37">
        <f>G30*F30</f>
        <v>4081.7279999999992</v>
      </c>
    </row>
    <row r="31" spans="1:13" ht="15.75" thickBot="1">
      <c r="A31" s="390"/>
      <c r="B31" s="346" t="s">
        <v>4</v>
      </c>
      <c r="C31" s="346"/>
      <c r="D31" s="346"/>
      <c r="E31" s="346"/>
      <c r="F31" s="346"/>
      <c r="G31" s="346"/>
      <c r="H31" s="67">
        <f>SUM(H29:H30)</f>
        <v>6331.3099499999989</v>
      </c>
    </row>
    <row r="32" spans="1:13">
      <c r="A32" s="35"/>
      <c r="B32" s="415" t="s">
        <v>488</v>
      </c>
      <c r="C32" s="415"/>
      <c r="D32" s="415"/>
      <c r="E32" s="415"/>
      <c r="F32" s="415"/>
      <c r="G32" s="415"/>
      <c r="H32" s="415"/>
    </row>
    <row r="33" spans="1:14" ht="15.75" thickBot="1">
      <c r="A33" s="35"/>
    </row>
    <row r="34" spans="1:14" ht="21.75" thickBot="1">
      <c r="B34" s="396" t="s">
        <v>597</v>
      </c>
      <c r="C34" s="397"/>
      <c r="D34" s="397"/>
      <c r="E34" s="397"/>
      <c r="F34" s="398"/>
      <c r="H34" s="396" t="s">
        <v>598</v>
      </c>
      <c r="I34" s="397"/>
      <c r="J34" s="397"/>
      <c r="K34" s="397"/>
      <c r="L34" s="398"/>
      <c r="N34" s="30"/>
    </row>
    <row r="35" spans="1:14">
      <c r="B35" s="355" t="s">
        <v>1</v>
      </c>
      <c r="C35" s="356"/>
      <c r="D35" s="356"/>
      <c r="E35" s="356" t="s">
        <v>2</v>
      </c>
      <c r="F35" s="395"/>
      <c r="H35" s="355" t="s">
        <v>1</v>
      </c>
      <c r="I35" s="356"/>
      <c r="J35" s="356"/>
      <c r="K35" s="356" t="s">
        <v>2</v>
      </c>
      <c r="L35" s="395"/>
    </row>
    <row r="36" spans="1:14" ht="15.75" thickBot="1">
      <c r="B36" s="357"/>
      <c r="C36" s="358"/>
      <c r="D36" s="358"/>
      <c r="E36" s="53" t="s">
        <v>3</v>
      </c>
      <c r="F36" s="54" t="s">
        <v>4</v>
      </c>
      <c r="H36" s="357"/>
      <c r="I36" s="358"/>
      <c r="J36" s="358"/>
      <c r="K36" s="53" t="s">
        <v>3</v>
      </c>
      <c r="L36" s="54" t="s">
        <v>4</v>
      </c>
    </row>
    <row r="37" spans="1:14">
      <c r="B37" s="359" t="s">
        <v>398</v>
      </c>
      <c r="C37" s="360"/>
      <c r="D37" s="360"/>
      <c r="E37" s="360"/>
      <c r="F37" s="410">
        <f>SUM(E38:E39)</f>
        <v>12463.4856975</v>
      </c>
      <c r="H37" s="359" t="s">
        <v>398</v>
      </c>
      <c r="I37" s="360"/>
      <c r="J37" s="360"/>
      <c r="K37" s="360"/>
      <c r="L37" s="410">
        <f>SUM(K38:K39)</f>
        <v>18695.22854625</v>
      </c>
    </row>
    <row r="38" spans="1:14">
      <c r="B38" s="363" t="s">
        <v>5</v>
      </c>
      <c r="C38" s="378" t="s">
        <v>6</v>
      </c>
      <c r="D38" s="378"/>
      <c r="E38" s="83">
        <f>M6</f>
        <v>9780.6670974999997</v>
      </c>
      <c r="F38" s="411"/>
      <c r="H38" s="363" t="s">
        <v>5</v>
      </c>
      <c r="I38" s="378" t="s">
        <v>6</v>
      </c>
      <c r="J38" s="378"/>
      <c r="K38" s="83">
        <f>M10</f>
        <v>14671.000646249999</v>
      </c>
      <c r="L38" s="411"/>
      <c r="N38" s="30"/>
    </row>
    <row r="39" spans="1:14" ht="15.75" thickBot="1">
      <c r="B39" s="364"/>
      <c r="C39" s="378" t="s">
        <v>7</v>
      </c>
      <c r="D39" s="378"/>
      <c r="E39" s="83">
        <f>M7</f>
        <v>2682.8186000000005</v>
      </c>
      <c r="F39" s="412"/>
      <c r="H39" s="364"/>
      <c r="I39" s="378" t="s">
        <v>7</v>
      </c>
      <c r="J39" s="378"/>
      <c r="K39" s="83">
        <f>M11</f>
        <v>4024.2279000000008</v>
      </c>
      <c r="L39" s="412"/>
    </row>
    <row r="40" spans="1:14">
      <c r="B40" s="352" t="s">
        <v>414</v>
      </c>
      <c r="C40" s="353"/>
      <c r="D40" s="353"/>
      <c r="E40" s="354"/>
      <c r="F40" s="371">
        <f>SUM(E41)</f>
        <v>1525.5306493740002</v>
      </c>
      <c r="H40" s="352" t="s">
        <v>414</v>
      </c>
      <c r="I40" s="353"/>
      <c r="J40" s="353"/>
      <c r="K40" s="354"/>
      <c r="L40" s="371">
        <f>SUM(K41)</f>
        <v>2288.2959740610004</v>
      </c>
    </row>
    <row r="41" spans="1:14" ht="15.75" thickBot="1">
      <c r="B41" s="55" t="s">
        <v>8</v>
      </c>
      <c r="C41" s="77">
        <f>'Tabela DNIT-Consult-BDI'!$I$27/100</f>
        <v>0.12240000000000001</v>
      </c>
      <c r="D41" s="58" t="s">
        <v>9</v>
      </c>
      <c r="E41" s="84">
        <f>F37*C41</f>
        <v>1525.5306493740002</v>
      </c>
      <c r="F41" s="368"/>
      <c r="H41" s="55" t="s">
        <v>8</v>
      </c>
      <c r="I41" s="77">
        <f>'Tabela DNIT-Consult-BDI'!$I$27/100</f>
        <v>0.12240000000000001</v>
      </c>
      <c r="J41" s="58" t="s">
        <v>9</v>
      </c>
      <c r="K41" s="84">
        <f>L37*I41</f>
        <v>2288.2959740610004</v>
      </c>
      <c r="L41" s="368"/>
    </row>
    <row r="42" spans="1:14">
      <c r="B42" s="352" t="s">
        <v>415</v>
      </c>
      <c r="C42" s="353"/>
      <c r="D42" s="353"/>
      <c r="E42" s="354"/>
      <c r="F42" s="371">
        <f>SUM(E43:E44)</f>
        <v>4522.3642499999996</v>
      </c>
      <c r="H42" s="352" t="s">
        <v>415</v>
      </c>
      <c r="I42" s="353"/>
      <c r="J42" s="353"/>
      <c r="K42" s="354"/>
      <c r="L42" s="371">
        <f>SUM(K43:K44)</f>
        <v>6783.546374999999</v>
      </c>
    </row>
    <row r="43" spans="1:14">
      <c r="B43" s="373" t="s">
        <v>486</v>
      </c>
      <c r="C43" s="374"/>
      <c r="D43" s="374"/>
      <c r="E43" s="83">
        <f>H21</f>
        <v>1606.8442500000001</v>
      </c>
      <c r="F43" s="372"/>
      <c r="H43" s="373" t="s">
        <v>486</v>
      </c>
      <c r="I43" s="374"/>
      <c r="J43" s="374"/>
      <c r="K43" s="83">
        <f>H25</f>
        <v>2410.2663750000002</v>
      </c>
      <c r="L43" s="372"/>
    </row>
    <row r="44" spans="1:14" ht="15.75" thickBot="1">
      <c r="B44" s="375" t="s">
        <v>487</v>
      </c>
      <c r="C44" s="376"/>
      <c r="D44" s="377"/>
      <c r="E44" s="83">
        <f>H22</f>
        <v>2915.5199999999995</v>
      </c>
      <c r="F44" s="368"/>
      <c r="H44" s="375" t="s">
        <v>487</v>
      </c>
      <c r="I44" s="376"/>
      <c r="J44" s="377"/>
      <c r="K44" s="83">
        <f>H26</f>
        <v>4373.2799999999988</v>
      </c>
      <c r="L44" s="368"/>
    </row>
    <row r="45" spans="1:14">
      <c r="B45" s="347" t="s">
        <v>10</v>
      </c>
      <c r="C45" s="348"/>
      <c r="D45" s="349"/>
      <c r="E45" s="57" t="s">
        <v>417</v>
      </c>
      <c r="F45" s="75">
        <f>F42+F40+F37</f>
        <v>18511.380596873998</v>
      </c>
      <c r="H45" s="347" t="s">
        <v>10</v>
      </c>
      <c r="I45" s="348"/>
      <c r="J45" s="349"/>
      <c r="K45" s="57" t="s">
        <v>417</v>
      </c>
      <c r="L45" s="75">
        <f>L42+L40+L37</f>
        <v>27767.070895311001</v>
      </c>
    </row>
    <row r="46" spans="1:14">
      <c r="B46" s="350" t="s">
        <v>11</v>
      </c>
      <c r="C46" s="351"/>
      <c r="D46" s="351"/>
      <c r="E46" s="400"/>
      <c r="F46" s="362">
        <f>D47*F45</f>
        <v>2221.3656716248797</v>
      </c>
      <c r="H46" s="350" t="s">
        <v>11</v>
      </c>
      <c r="I46" s="351"/>
      <c r="J46" s="351"/>
      <c r="K46" s="400"/>
      <c r="L46" s="362">
        <f>J47*L45</f>
        <v>3332.04850743732</v>
      </c>
    </row>
    <row r="47" spans="1:14">
      <c r="B47" s="365" t="s">
        <v>8</v>
      </c>
      <c r="C47" s="366"/>
      <c r="D47" s="77">
        <f>'Tabela DNIT-Consult-BDI'!$I$30/100</f>
        <v>0.12</v>
      </c>
      <c r="E47" s="49" t="s">
        <v>12</v>
      </c>
      <c r="F47" s="362"/>
      <c r="H47" s="365" t="s">
        <v>8</v>
      </c>
      <c r="I47" s="366"/>
      <c r="J47" s="77">
        <f>'Tabela DNIT-Consult-BDI'!$I$30/100</f>
        <v>0.12</v>
      </c>
      <c r="K47" s="49" t="s">
        <v>12</v>
      </c>
      <c r="L47" s="362"/>
    </row>
    <row r="48" spans="1:14">
      <c r="B48" s="350" t="s">
        <v>13</v>
      </c>
      <c r="C48" s="351"/>
      <c r="D48" s="351"/>
      <c r="E48" s="400"/>
      <c r="F48" s="367">
        <f>D49*(F45+F46)</f>
        <v>4279.2388298181686</v>
      </c>
      <c r="H48" s="350" t="s">
        <v>13</v>
      </c>
      <c r="I48" s="351"/>
      <c r="J48" s="351"/>
      <c r="K48" s="400"/>
      <c r="L48" s="367">
        <f>J49*(L45+L46)</f>
        <v>6418.8582447272538</v>
      </c>
    </row>
    <row r="49" spans="2:12" ht="15.75" thickBot="1">
      <c r="B49" s="369" t="s">
        <v>8</v>
      </c>
      <c r="C49" s="370"/>
      <c r="D49" s="77">
        <f>'Tabela DNIT-Consult-BDI'!$I$35/100</f>
        <v>0.2064</v>
      </c>
      <c r="E49" s="58" t="s">
        <v>14</v>
      </c>
      <c r="F49" s="368"/>
      <c r="H49" s="369" t="s">
        <v>8</v>
      </c>
      <c r="I49" s="370"/>
      <c r="J49" s="77">
        <f>'Tabela DNIT-Consult-BDI'!$I$35/100</f>
        <v>0.2064</v>
      </c>
      <c r="K49" s="58" t="s">
        <v>14</v>
      </c>
      <c r="L49" s="368"/>
    </row>
    <row r="50" spans="2:12">
      <c r="B50" s="347" t="s">
        <v>588</v>
      </c>
      <c r="C50" s="348"/>
      <c r="D50" s="348"/>
      <c r="E50" s="349"/>
      <c r="F50" s="371">
        <f>E51</f>
        <v>9266.8651147445835</v>
      </c>
      <c r="H50" s="347" t="s">
        <v>588</v>
      </c>
      <c r="I50" s="348"/>
      <c r="J50" s="348"/>
      <c r="K50" s="349"/>
      <c r="L50" s="371">
        <f>K51</f>
        <v>10921.493156784245</v>
      </c>
    </row>
    <row r="51" spans="2:12" ht="15.75" thickBot="1">
      <c r="B51" s="403" t="s">
        <v>586</v>
      </c>
      <c r="C51" s="404"/>
      <c r="D51" s="405"/>
      <c r="E51" s="139">
        <f>'CPU_Eq. Coord.'!F77</f>
        <v>9266.8651147445835</v>
      </c>
      <c r="F51" s="368"/>
      <c r="H51" s="403" t="s">
        <v>586</v>
      </c>
      <c r="I51" s="404"/>
      <c r="J51" s="405"/>
      <c r="K51" s="139">
        <f>'CPU_Eq. Coord.'!L77</f>
        <v>10921.493156784245</v>
      </c>
      <c r="L51" s="368"/>
    </row>
    <row r="52" spans="2:12" ht="15.75" thickBot="1">
      <c r="B52" s="337" t="s">
        <v>592</v>
      </c>
      <c r="C52" s="338"/>
      <c r="D52" s="339"/>
      <c r="E52" s="62" t="s">
        <v>587</v>
      </c>
      <c r="F52" s="76">
        <f>F45+F46+F48+F50</f>
        <v>34278.850213061633</v>
      </c>
      <c r="H52" s="337" t="s">
        <v>592</v>
      </c>
      <c r="I52" s="338"/>
      <c r="J52" s="339"/>
      <c r="K52" s="62" t="s">
        <v>587</v>
      </c>
      <c r="L52" s="76">
        <f>L45+L46+L48+L50</f>
        <v>48439.470804259821</v>
      </c>
    </row>
    <row r="54" spans="2:12" ht="15.75" thickBot="1"/>
    <row r="55" spans="2:12" ht="21.75" thickBot="1">
      <c r="B55" s="396" t="s">
        <v>651</v>
      </c>
      <c r="C55" s="397"/>
      <c r="D55" s="397"/>
      <c r="E55" s="397"/>
      <c r="F55" s="398"/>
    </row>
    <row r="56" spans="2:12">
      <c r="B56" s="355" t="s">
        <v>1</v>
      </c>
      <c r="C56" s="356"/>
      <c r="D56" s="356"/>
      <c r="E56" s="356" t="s">
        <v>2</v>
      </c>
      <c r="F56" s="395"/>
    </row>
    <row r="57" spans="2:12" ht="15.75" thickBot="1">
      <c r="B57" s="357"/>
      <c r="C57" s="358"/>
      <c r="D57" s="358"/>
      <c r="E57" s="153" t="s">
        <v>3</v>
      </c>
      <c r="F57" s="54" t="s">
        <v>4</v>
      </c>
    </row>
    <row r="58" spans="2:12">
      <c r="B58" s="359" t="s">
        <v>398</v>
      </c>
      <c r="C58" s="360"/>
      <c r="D58" s="360"/>
      <c r="E58" s="360"/>
      <c r="F58" s="410">
        <f>SUM(E59:E60)</f>
        <v>17448.8799765</v>
      </c>
    </row>
    <row r="59" spans="2:12">
      <c r="B59" s="363" t="s">
        <v>5</v>
      </c>
      <c r="C59" s="378" t="s">
        <v>6</v>
      </c>
      <c r="D59" s="378"/>
      <c r="E59" s="83">
        <f>M14</f>
        <v>13692.933936499998</v>
      </c>
      <c r="F59" s="411"/>
    </row>
    <row r="60" spans="2:12" ht="15.75" thickBot="1">
      <c r="B60" s="364"/>
      <c r="C60" s="378" t="s">
        <v>7</v>
      </c>
      <c r="D60" s="378"/>
      <c r="E60" s="83">
        <f>M15</f>
        <v>3755.9460400000007</v>
      </c>
      <c r="F60" s="412"/>
    </row>
    <row r="61" spans="2:12">
      <c r="B61" s="352" t="s">
        <v>414</v>
      </c>
      <c r="C61" s="353"/>
      <c r="D61" s="353"/>
      <c r="E61" s="354"/>
      <c r="F61" s="371">
        <f>SUM(E62)</f>
        <v>2135.7429091236004</v>
      </c>
    </row>
    <row r="62" spans="2:12" ht="15.75" thickBot="1">
      <c r="B62" s="55" t="s">
        <v>8</v>
      </c>
      <c r="C62" s="77">
        <f>'Tabela DNIT-Consult-BDI'!$I$27/100</f>
        <v>0.12240000000000001</v>
      </c>
      <c r="D62" s="58" t="s">
        <v>9</v>
      </c>
      <c r="E62" s="84">
        <f>F58*C62</f>
        <v>2135.7429091236004</v>
      </c>
      <c r="F62" s="368"/>
    </row>
    <row r="63" spans="2:12">
      <c r="B63" s="352" t="s">
        <v>415</v>
      </c>
      <c r="C63" s="353"/>
      <c r="D63" s="353"/>
      <c r="E63" s="354"/>
      <c r="F63" s="371">
        <f>SUM(E64:E65)</f>
        <v>6331.3099499999989</v>
      </c>
    </row>
    <row r="64" spans="2:12">
      <c r="B64" s="373" t="s">
        <v>486</v>
      </c>
      <c r="C64" s="374"/>
      <c r="D64" s="374"/>
      <c r="E64" s="83">
        <f>H29</f>
        <v>2249.5819499999998</v>
      </c>
      <c r="F64" s="372"/>
    </row>
    <row r="65" spans="2:6" ht="15.75" thickBot="1">
      <c r="B65" s="375" t="s">
        <v>487</v>
      </c>
      <c r="C65" s="376"/>
      <c r="D65" s="377"/>
      <c r="E65" s="83">
        <f>H30</f>
        <v>4081.7279999999992</v>
      </c>
      <c r="F65" s="368"/>
    </row>
    <row r="66" spans="2:6">
      <c r="B66" s="347" t="s">
        <v>10</v>
      </c>
      <c r="C66" s="348"/>
      <c r="D66" s="349"/>
      <c r="E66" s="152" t="s">
        <v>417</v>
      </c>
      <c r="F66" s="154">
        <f>F63+F61+F58</f>
        <v>25915.9328356236</v>
      </c>
    </row>
    <row r="67" spans="2:6">
      <c r="B67" s="350" t="s">
        <v>11</v>
      </c>
      <c r="C67" s="351"/>
      <c r="D67" s="351"/>
      <c r="E67" s="400"/>
      <c r="F67" s="362">
        <f>D68*F66</f>
        <v>3109.911940274832</v>
      </c>
    </row>
    <row r="68" spans="2:6">
      <c r="B68" s="365" t="s">
        <v>8</v>
      </c>
      <c r="C68" s="366"/>
      <c r="D68" s="77">
        <f>'Tabela DNIT-Consult-BDI'!$I$30/100</f>
        <v>0.12</v>
      </c>
      <c r="E68" s="49" t="s">
        <v>12</v>
      </c>
      <c r="F68" s="362"/>
    </row>
    <row r="69" spans="2:6">
      <c r="B69" s="350" t="s">
        <v>13</v>
      </c>
      <c r="C69" s="351"/>
      <c r="D69" s="351"/>
      <c r="E69" s="400"/>
      <c r="F69" s="367">
        <f>D70*(F66+F67)</f>
        <v>5990.9343617454369</v>
      </c>
    </row>
    <row r="70" spans="2:6" ht="15.75" thickBot="1">
      <c r="B70" s="369" t="s">
        <v>8</v>
      </c>
      <c r="C70" s="370"/>
      <c r="D70" s="77">
        <f>'Tabela DNIT-Consult-BDI'!$I$35/100</f>
        <v>0.2064</v>
      </c>
      <c r="E70" s="58" t="s">
        <v>14</v>
      </c>
      <c r="F70" s="368"/>
    </row>
    <row r="71" spans="2:6">
      <c r="B71" s="347" t="s">
        <v>588</v>
      </c>
      <c r="C71" s="348"/>
      <c r="D71" s="348"/>
      <c r="E71" s="349"/>
      <c r="F71" s="371">
        <f>E72</f>
        <v>20968.323465394224</v>
      </c>
    </row>
    <row r="72" spans="2:6" ht="15.75" thickBot="1">
      <c r="B72" s="403" t="s">
        <v>586</v>
      </c>
      <c r="C72" s="404"/>
      <c r="D72" s="405"/>
      <c r="E72" s="139">
        <f>'CPU_Eq. Coord.'!R77</f>
        <v>20968.323465394224</v>
      </c>
      <c r="F72" s="368"/>
    </row>
    <row r="73" spans="2:6" ht="15.75" thickBot="1">
      <c r="B73" s="337" t="s">
        <v>592</v>
      </c>
      <c r="C73" s="338"/>
      <c r="D73" s="339"/>
      <c r="E73" s="62" t="s">
        <v>587</v>
      </c>
      <c r="F73" s="76">
        <f>F66+F67+F69+F71</f>
        <v>55985.102603038089</v>
      </c>
    </row>
  </sheetData>
  <mergeCells count="97">
    <mergeCell ref="B32:H32"/>
    <mergeCell ref="H34:L34"/>
    <mergeCell ref="H35:J36"/>
    <mergeCell ref="B50:E50"/>
    <mergeCell ref="F50:F51"/>
    <mergeCell ref="B51:D51"/>
    <mergeCell ref="B45:D45"/>
    <mergeCell ref="H46:K46"/>
    <mergeCell ref="H48:K48"/>
    <mergeCell ref="H45:J45"/>
    <mergeCell ref="F46:F47"/>
    <mergeCell ref="B47:C47"/>
    <mergeCell ref="F48:F49"/>
    <mergeCell ref="B49:C49"/>
    <mergeCell ref="H51:J51"/>
    <mergeCell ref="K35:L35"/>
    <mergeCell ref="A1:M1"/>
    <mergeCell ref="A2:M2"/>
    <mergeCell ref="A3:M3"/>
    <mergeCell ref="B5:M5"/>
    <mergeCell ref="D6:D7"/>
    <mergeCell ref="H37:K37"/>
    <mergeCell ref="L37:L39"/>
    <mergeCell ref="H38:H39"/>
    <mergeCell ref="I38:J38"/>
    <mergeCell ref="I39:J39"/>
    <mergeCell ref="B34:F34"/>
    <mergeCell ref="B35:D36"/>
    <mergeCell ref="B40:E40"/>
    <mergeCell ref="F40:F41"/>
    <mergeCell ref="B42:E42"/>
    <mergeCell ref="F42:F44"/>
    <mergeCell ref="B43:D43"/>
    <mergeCell ref="B44:D44"/>
    <mergeCell ref="B37:E37"/>
    <mergeCell ref="F37:F39"/>
    <mergeCell ref="B38:B39"/>
    <mergeCell ref="C38:D38"/>
    <mergeCell ref="C39:D39"/>
    <mergeCell ref="E35:F35"/>
    <mergeCell ref="B52:D52"/>
    <mergeCell ref="B48:E48"/>
    <mergeCell ref="B46:E46"/>
    <mergeCell ref="H40:K40"/>
    <mergeCell ref="L40:L41"/>
    <mergeCell ref="H42:K42"/>
    <mergeCell ref="L42:L44"/>
    <mergeCell ref="H43:J43"/>
    <mergeCell ref="H44:J44"/>
    <mergeCell ref="L46:L47"/>
    <mergeCell ref="H47:I47"/>
    <mergeCell ref="L48:L49"/>
    <mergeCell ref="H49:I49"/>
    <mergeCell ref="H52:J52"/>
    <mergeCell ref="H50:K50"/>
    <mergeCell ref="L50:L51"/>
    <mergeCell ref="B13:M13"/>
    <mergeCell ref="D14:D15"/>
    <mergeCell ref="B16:H16"/>
    <mergeCell ref="A5:A16"/>
    <mergeCell ref="B28:H28"/>
    <mergeCell ref="A20:A31"/>
    <mergeCell ref="A18:H18"/>
    <mergeCell ref="B20:H20"/>
    <mergeCell ref="B24:H24"/>
    <mergeCell ref="B23:G23"/>
    <mergeCell ref="B27:G27"/>
    <mergeCell ref="B31:G31"/>
    <mergeCell ref="B8:H8"/>
    <mergeCell ref="B9:M9"/>
    <mergeCell ref="D10:D11"/>
    <mergeCell ref="B12:H12"/>
    <mergeCell ref="B55:F55"/>
    <mergeCell ref="B56:D57"/>
    <mergeCell ref="E56:F56"/>
    <mergeCell ref="B58:E58"/>
    <mergeCell ref="F58:F60"/>
    <mergeCell ref="B59:B60"/>
    <mergeCell ref="C59:D59"/>
    <mergeCell ref="C60:D60"/>
    <mergeCell ref="B61:E61"/>
    <mergeCell ref="F61:F62"/>
    <mergeCell ref="B63:E63"/>
    <mergeCell ref="F63:F65"/>
    <mergeCell ref="B64:D64"/>
    <mergeCell ref="B65:D65"/>
    <mergeCell ref="B71:E71"/>
    <mergeCell ref="F71:F72"/>
    <mergeCell ref="B72:D72"/>
    <mergeCell ref="B73:D73"/>
    <mergeCell ref="B66:D66"/>
    <mergeCell ref="B67:E67"/>
    <mergeCell ref="F67:F68"/>
    <mergeCell ref="B68:C68"/>
    <mergeCell ref="B69:E69"/>
    <mergeCell ref="F69:F70"/>
    <mergeCell ref="B70:C70"/>
  </mergeCells>
  <pageMargins left="0.511811024" right="0.511811024" top="0.78740157499999996" bottom="0.78740157499999996" header="0.31496062000000002" footer="0.31496062000000002"/>
  <pageSetup paperSize="9" orientation="portrait" horizontalDpi="4294967295" verticalDpi="4294967295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5615EB8DB572254B9272DB6B84A9B59B" ma:contentTypeVersion="14" ma:contentTypeDescription="Crie um novo documento." ma:contentTypeScope="" ma:versionID="8cdf729f4b44d605e55fe14baf0a5cf7">
  <xsd:schema xmlns:xsd="http://www.w3.org/2001/XMLSchema" xmlns:xs="http://www.w3.org/2001/XMLSchema" xmlns:p="http://schemas.microsoft.com/office/2006/metadata/properties" xmlns:ns3="d28d09ab-433a-43e3-baf3-97dbb982d838" xmlns:ns4="49cb637b-6db9-4851-a7ec-cc24635b14bd" targetNamespace="http://schemas.microsoft.com/office/2006/metadata/properties" ma:root="true" ma:fieldsID="bb5e25470a11b4b63cd15aefa5becee9" ns3:_="" ns4:_="">
    <xsd:import namespace="d28d09ab-433a-43e3-baf3-97dbb982d838"/>
    <xsd:import namespace="49cb637b-6db9-4851-a7ec-cc24635b14bd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KeyPoints" minOccurs="0"/>
                <xsd:element ref="ns4:MediaServiceKeyPoints" minOccurs="0"/>
                <xsd:element ref="ns4:MediaLengthInSeconds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MediaServiceLoca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8d09ab-433a-43e3-baf3-97dbb982d838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Compartilhado com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Detalhes de Compartilhado Com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Hash de Dica de Compartilhamento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cb637b-6db9-4851-a7ec-cc24635b14b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5" nillable="true" ma:displayName="Length (seconds)" ma:internalName="MediaLengthInSeconds" ma:readOnly="true">
      <xsd:simpleType>
        <xsd:restriction base="dms:Unknown"/>
      </xsd:simpleType>
    </xsd:element>
    <xsd:element name="MediaServiceAutoTags" ma:index="16" nillable="true" ma:displayName="Tags" ma:internalName="MediaServiceAutoTags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21" nillable="true" ma:displayName="Location" ma:internalName="MediaServiceLocation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ú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FE0DAA1-549C-40B9-85C5-EC0638DFFE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d28d09ab-433a-43e3-baf3-97dbb982d838"/>
    <ds:schemaRef ds:uri="49cb637b-6db9-4851-a7ec-cc24635b14b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5E663E5-85EC-4BD9-94DF-7E7A08598C1F}">
  <ds:schemaRefs>
    <ds:schemaRef ds:uri="49cb637b-6db9-4851-a7ec-cc24635b14bd"/>
    <ds:schemaRef ds:uri="d28d09ab-433a-43e3-baf3-97dbb982d838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http://purl.org/dc/dcmitype/"/>
    <ds:schemaRef ds:uri="http://schemas.microsoft.com/office/2006/documentManagement/types"/>
    <ds:schemaRef ds:uri="http://schemas.microsoft.com/office/2006/metadata/properties"/>
    <ds:schemaRef ds:uri="http://www.w3.org/XML/1998/namespace"/>
    <ds:schemaRef ds:uri="http://purl.org/dc/terms/"/>
  </ds:schemaRefs>
</ds:datastoreItem>
</file>

<file path=customXml/itemProps3.xml><?xml version="1.0" encoding="utf-8"?>
<ds:datastoreItem xmlns:ds="http://schemas.openxmlformats.org/officeDocument/2006/customXml" ds:itemID="{CA3D31B0-5E7C-4654-9110-3507C85F07F5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Planilhas</vt:lpstr>
      </vt:variant>
      <vt:variant>
        <vt:i4>16</vt:i4>
      </vt:variant>
      <vt:variant>
        <vt:lpstr>Intervalos Nomeados</vt:lpstr>
      </vt:variant>
      <vt:variant>
        <vt:i4>5</vt:i4>
      </vt:variant>
    </vt:vector>
  </HeadingPairs>
  <TitlesOfParts>
    <vt:vector size="21" baseType="lpstr">
      <vt:lpstr>Principal</vt:lpstr>
      <vt:lpstr>Cronograma_Fisico_Financeiro</vt:lpstr>
      <vt:lpstr>Cronograma_Fisico</vt:lpstr>
      <vt:lpstr>CPU_1.1, 1.2 e 1.3</vt:lpstr>
      <vt:lpstr>CPU_2.1, 8.1 e 14.1</vt:lpstr>
      <vt:lpstr>CPU_3.1, 9.1 e 15.1</vt:lpstr>
      <vt:lpstr>CPU_4.1,10.1 e 16.1</vt:lpstr>
      <vt:lpstr>CPU_5.1, 11.1 e 17.1</vt:lpstr>
      <vt:lpstr>CPU_6.1, 12.1 e 18.1</vt:lpstr>
      <vt:lpstr>CPU_7.1, 13.1 e 19.1</vt:lpstr>
      <vt:lpstr>Tabela DNIT-Consult-MO</vt:lpstr>
      <vt:lpstr>Tabela DNIT-Consult-BDI</vt:lpstr>
      <vt:lpstr>Diárias</vt:lpstr>
      <vt:lpstr>CPU_Eq. Coord.</vt:lpstr>
      <vt:lpstr>Mapa de Cotação - FWD, IRI, LVC</vt:lpstr>
      <vt:lpstr>Lista Fornecedores</vt:lpstr>
      <vt:lpstr>Cronograma_Fisico!Area_de_impressao</vt:lpstr>
      <vt:lpstr>Cronograma_Fisico_Financeiro!Area_de_impressao</vt:lpstr>
      <vt:lpstr>'Mapa de Cotação - FWD, IRI, LVC'!Area_de_impressao</vt:lpstr>
      <vt:lpstr>Cronograma_Fisico!Titulos_de_impressao</vt:lpstr>
      <vt:lpstr>Cronograma_Fisico_Financeiro!Titulos_de_impressao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cp:keywords/>
  <dc:description/>
  <cp:revision/>
  <cp:lastPrinted>2022-09-12T17:53:11Z</cp:lastPrinted>
  <dcterms:created xsi:type="dcterms:W3CDTF">2022-05-13T12:23:58Z</dcterms:created>
  <dcterms:modified xsi:type="dcterms:W3CDTF">2022-09-13T17:52:46Z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0x0101005615EB8DB572254B9272DB6B84A9B59B</vt:lpwstr>
  </property>
</Properties>
</file>