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A:\Marcos ANTT\Supervisoras II\"/>
    </mc:Choice>
  </mc:AlternateContent>
  <xr:revisionPtr revIDLastSave="0" documentId="13_ncr:1_{20E5CEA1-53F0-454D-ADC1-290842F3C735}" xr6:coauthVersionLast="47" xr6:coauthVersionMax="47" xr10:uidLastSave="{00000000-0000-0000-0000-000000000000}"/>
  <bookViews>
    <workbookView xWindow="-108" yWindow="-108" windowWidth="23256" windowHeight="12576" tabRatio="922" xr2:uid="{00000000-000D-0000-FFFF-FFFF00000000}"/>
  </bookViews>
  <sheets>
    <sheet name="Resumo" sheetId="3" r:id="rId1"/>
    <sheet name="Custo Gerencial LOTE 01" sheetId="36" r:id="rId2"/>
    <sheet name="Relatorios LOTE 01" sheetId="37" r:id="rId3"/>
    <sheet name="Custo Gerencial LOTE 02" sheetId="38" r:id="rId4"/>
    <sheet name="Relatorios LOTE 02" sheetId="39" r:id="rId5"/>
    <sheet name="Custo Gerencial LOTE 03" sheetId="4" r:id="rId6"/>
    <sheet name="Relatorios LOTE 03" sheetId="8" r:id="rId7"/>
    <sheet name="Custo Gerencial LOTE 04" sheetId="33" r:id="rId8"/>
    <sheet name="Relatorios LOTE 04" sheetId="34" r:id="rId9"/>
    <sheet name="Planilha base" sheetId="5" r:id="rId10"/>
    <sheet name="Tabela DNIT-Consult-MO" sheetId="26" r:id="rId11"/>
    <sheet name="Tabela DNIT-Consult-BDI" sheetId="27" r:id="rId12"/>
    <sheet name="Diárias" sheetId="2" r:id="rId13"/>
    <sheet name="Faixas de Rolamento" sheetId="30" r:id="rId14"/>
    <sheet name="Mapa de Preços" sheetId="32" r:id="rId15"/>
    <sheet name="Lista Fornecedores" sheetId="35" r:id="rId16"/>
    <sheet name="NovaDutra" sheetId="44" state="hidden" r:id="rId17"/>
    <sheet name="Régis" sheetId="42" state="hidden" r:id="rId18"/>
    <sheet name="Transbrasiliana" sheetId="45" state="hidden" r:id="rId19"/>
    <sheet name="Planalto Sul" sheetId="41" state="hidden" r:id="rId20"/>
    <sheet name="Litoral Sul" sheetId="40" state="hidden" r:id="rId21"/>
    <sheet name="ViaCosteira" sheetId="43" state="hidden" r:id="rId22"/>
  </sheets>
  <definedNames>
    <definedName name="_xlnm._FilterDatabase" localSheetId="2" hidden="1">'Relatorios LOTE 01'!$A$5:$A$123</definedName>
    <definedName name="_xlnm._FilterDatabase" localSheetId="4" hidden="1">'Relatorios LOTE 02'!$A$5:$A$127</definedName>
    <definedName name="_xlnm._FilterDatabase" localSheetId="6" hidden="1">'Relatorios LOTE 03'!$A$5:$A$135</definedName>
    <definedName name="_xlnm._FilterDatabase" localSheetId="8" hidden="1">'Relatorios LOTE 04'!$A$5:$A$135</definedName>
    <definedName name="_xlnm.Print_Area" localSheetId="20">'Litoral Sul'!$A$2:$O$9</definedName>
    <definedName name="_xlnm.Print_Area" localSheetId="14">'Mapa de Preços'!$A$1:$J$27</definedName>
    <definedName name="_xlnm.Print_Area" localSheetId="19">'Planalto Sul'!$A$2:$O$9</definedName>
    <definedName name="_xlnm.Print_Area" localSheetId="9">'Planilha base'!$A$1:$P$56</definedName>
    <definedName name="_xlnm.Print_Area" localSheetId="2">'Relatorios LOTE 01'!$A$1:$I$134</definedName>
    <definedName name="_xlnm.Print_Area" localSheetId="4">'Relatorios LOTE 02'!$A$1:$I$138</definedName>
    <definedName name="_xlnm.Print_Area" localSheetId="6">'Relatorios LOTE 03'!$A$1:$I$146</definedName>
    <definedName name="_xlnm.Print_Area" localSheetId="8">'Relatorios LOTE 04'!$A$1:$I$146</definedName>
    <definedName name="_xlnm.Print_Area" localSheetId="0">Resumo!$A$2:$I$15</definedName>
    <definedName name="Pal_Workbook_GUID" hidden="1">"ZJCEKNZZ6MSABE3E4DMF6R63"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solver_adj" localSheetId="2" hidden="1">'Relatorios LOTE 01'!#REF!</definedName>
    <definedName name="solver_adj" localSheetId="4" hidden="1">'Relatorios LOTE 02'!#REF!</definedName>
    <definedName name="solver_adj" localSheetId="6" hidden="1">'Relatorios LOTE 03'!#REF!</definedName>
    <definedName name="solver_adj" localSheetId="8" hidden="1">'Relatorios LOTE 04'!#REF!</definedName>
    <definedName name="solver_cvg" localSheetId="2" hidden="1">0.0001</definedName>
    <definedName name="solver_cvg" localSheetId="4" hidden="1">0.0001</definedName>
    <definedName name="solver_cvg" localSheetId="6" hidden="1">0.0001</definedName>
    <definedName name="solver_cvg" localSheetId="8" hidden="1">0.0001</definedName>
    <definedName name="solver_drv" localSheetId="2" hidden="1">1</definedName>
    <definedName name="solver_drv" localSheetId="4" hidden="1">1</definedName>
    <definedName name="solver_drv" localSheetId="6" hidden="1">1</definedName>
    <definedName name="solver_drv" localSheetId="8" hidden="1">1</definedName>
    <definedName name="solver_eng" localSheetId="2" hidden="1">1</definedName>
    <definedName name="solver_eng" localSheetId="4" hidden="1">1</definedName>
    <definedName name="solver_eng" localSheetId="6" hidden="1">1</definedName>
    <definedName name="solver_eng" localSheetId="8" hidden="1">1</definedName>
    <definedName name="solver_est" localSheetId="2" hidden="1">1</definedName>
    <definedName name="solver_est" localSheetId="4" hidden="1">1</definedName>
    <definedName name="solver_est" localSheetId="6" hidden="1">1</definedName>
    <definedName name="solver_est" localSheetId="8" hidden="1">1</definedName>
    <definedName name="solver_itr" localSheetId="2" hidden="1">2147483647</definedName>
    <definedName name="solver_itr" localSheetId="4" hidden="1">2147483647</definedName>
    <definedName name="solver_itr" localSheetId="6" hidden="1">2147483647</definedName>
    <definedName name="solver_itr" localSheetId="8" hidden="1">2147483647</definedName>
    <definedName name="solver_mip" localSheetId="2" hidden="1">2147483647</definedName>
    <definedName name="solver_mip" localSheetId="4" hidden="1">2147483647</definedName>
    <definedName name="solver_mip" localSheetId="6" hidden="1">2147483647</definedName>
    <definedName name="solver_mip" localSheetId="8" hidden="1">2147483647</definedName>
    <definedName name="solver_mni" localSheetId="2" hidden="1">30</definedName>
    <definedName name="solver_mni" localSheetId="4" hidden="1">30</definedName>
    <definedName name="solver_mni" localSheetId="6" hidden="1">30</definedName>
    <definedName name="solver_mni" localSheetId="8" hidden="1">30</definedName>
    <definedName name="solver_mrt" localSheetId="2" hidden="1">0.075</definedName>
    <definedName name="solver_mrt" localSheetId="4" hidden="1">0.075</definedName>
    <definedName name="solver_mrt" localSheetId="6" hidden="1">0.075</definedName>
    <definedName name="solver_mrt" localSheetId="8" hidden="1">0.075</definedName>
    <definedName name="solver_msl" localSheetId="2" hidden="1">2</definedName>
    <definedName name="solver_msl" localSheetId="4" hidden="1">2</definedName>
    <definedName name="solver_msl" localSheetId="6" hidden="1">2</definedName>
    <definedName name="solver_msl" localSheetId="8" hidden="1">2</definedName>
    <definedName name="solver_neg" localSheetId="2" hidden="1">1</definedName>
    <definedName name="solver_neg" localSheetId="4" hidden="1">1</definedName>
    <definedName name="solver_neg" localSheetId="6" hidden="1">1</definedName>
    <definedName name="solver_neg" localSheetId="8" hidden="1">1</definedName>
    <definedName name="solver_nod" localSheetId="2" hidden="1">2147483647</definedName>
    <definedName name="solver_nod" localSheetId="4" hidden="1">2147483647</definedName>
    <definedName name="solver_nod" localSheetId="6" hidden="1">2147483647</definedName>
    <definedName name="solver_nod" localSheetId="8" hidden="1">2147483647</definedName>
    <definedName name="solver_num" localSheetId="2" hidden="1">0</definedName>
    <definedName name="solver_num" localSheetId="4" hidden="1">0</definedName>
    <definedName name="solver_num" localSheetId="6" hidden="1">0</definedName>
    <definedName name="solver_num" localSheetId="8" hidden="1">0</definedName>
    <definedName name="solver_nwt" localSheetId="2" hidden="1">1</definedName>
    <definedName name="solver_nwt" localSheetId="4" hidden="1">1</definedName>
    <definedName name="solver_nwt" localSheetId="6" hidden="1">1</definedName>
    <definedName name="solver_nwt" localSheetId="8" hidden="1">1</definedName>
    <definedName name="solver_opt" localSheetId="2" hidden="1">'Relatorios LOTE 01'!#REF!</definedName>
    <definedName name="solver_opt" localSheetId="4" hidden="1">'Relatorios LOTE 02'!#REF!</definedName>
    <definedName name="solver_opt" localSheetId="6" hidden="1">'Relatorios LOTE 03'!#REF!</definedName>
    <definedName name="solver_opt" localSheetId="8" hidden="1">'Relatorios LOTE 04'!#REF!</definedName>
    <definedName name="solver_pre" localSheetId="2" hidden="1">0.000001</definedName>
    <definedName name="solver_pre" localSheetId="4" hidden="1">0.000001</definedName>
    <definedName name="solver_pre" localSheetId="6" hidden="1">0.000001</definedName>
    <definedName name="solver_pre" localSheetId="8" hidden="1">0.000001</definedName>
    <definedName name="solver_rbv" localSheetId="2" hidden="1">1</definedName>
    <definedName name="solver_rbv" localSheetId="4" hidden="1">1</definedName>
    <definedName name="solver_rbv" localSheetId="6" hidden="1">1</definedName>
    <definedName name="solver_rbv" localSheetId="8" hidden="1">1</definedName>
    <definedName name="solver_rlx" localSheetId="2" hidden="1">2</definedName>
    <definedName name="solver_rlx" localSheetId="4" hidden="1">2</definedName>
    <definedName name="solver_rlx" localSheetId="6" hidden="1">2</definedName>
    <definedName name="solver_rlx" localSheetId="8" hidden="1">2</definedName>
    <definedName name="solver_rsd" localSheetId="2" hidden="1">0</definedName>
    <definedName name="solver_rsd" localSheetId="4" hidden="1">0</definedName>
    <definedName name="solver_rsd" localSheetId="6" hidden="1">0</definedName>
    <definedName name="solver_rsd" localSheetId="8" hidden="1">0</definedName>
    <definedName name="solver_scl" localSheetId="2" hidden="1">1</definedName>
    <definedName name="solver_scl" localSheetId="4" hidden="1">1</definedName>
    <definedName name="solver_scl" localSheetId="6" hidden="1">1</definedName>
    <definedName name="solver_scl" localSheetId="8" hidden="1">1</definedName>
    <definedName name="solver_sho" localSheetId="2" hidden="1">2</definedName>
    <definedName name="solver_sho" localSheetId="4" hidden="1">2</definedName>
    <definedName name="solver_sho" localSheetId="6" hidden="1">2</definedName>
    <definedName name="solver_sho" localSheetId="8" hidden="1">2</definedName>
    <definedName name="solver_ssz" localSheetId="2" hidden="1">100</definedName>
    <definedName name="solver_ssz" localSheetId="4" hidden="1">100</definedName>
    <definedName name="solver_ssz" localSheetId="6" hidden="1">100</definedName>
    <definedName name="solver_ssz" localSheetId="8" hidden="1">100</definedName>
    <definedName name="solver_tim" localSheetId="2" hidden="1">2147483647</definedName>
    <definedName name="solver_tim" localSheetId="4" hidden="1">2147483647</definedName>
    <definedName name="solver_tim" localSheetId="6" hidden="1">2147483647</definedName>
    <definedName name="solver_tim" localSheetId="8" hidden="1">2147483647</definedName>
    <definedName name="solver_tol" localSheetId="2" hidden="1">0.01</definedName>
    <definedName name="solver_tol" localSheetId="4" hidden="1">0.01</definedName>
    <definedName name="solver_tol" localSheetId="6" hidden="1">0.01</definedName>
    <definedName name="solver_tol" localSheetId="8" hidden="1">0.01</definedName>
    <definedName name="solver_typ" localSheetId="2" hidden="1">3</definedName>
    <definedName name="solver_typ" localSheetId="4" hidden="1">3</definedName>
    <definedName name="solver_typ" localSheetId="6" hidden="1">3</definedName>
    <definedName name="solver_typ" localSheetId="8" hidden="1">3</definedName>
    <definedName name="solver_val" localSheetId="2" hidden="1">7.2</definedName>
    <definedName name="solver_val" localSheetId="4" hidden="1">7.2</definedName>
    <definedName name="solver_val" localSheetId="6" hidden="1">7.2</definedName>
    <definedName name="solver_val" localSheetId="8" hidden="1">7.2</definedName>
    <definedName name="solver_ver" localSheetId="2" hidden="1">3</definedName>
    <definedName name="solver_ver" localSheetId="4" hidden="1">3</definedName>
    <definedName name="solver_ver" localSheetId="6" hidden="1">3</definedName>
    <definedName name="solver_ver" localSheetId="8" hidden="1">3</definedName>
    <definedName name="_xlnm.Print_Titles" localSheetId="2">'Relatorios LOTE 01'!$1:$2</definedName>
    <definedName name="_xlnm.Print_Titles" localSheetId="4">'Relatorios LOTE 02'!$1:$2</definedName>
    <definedName name="_xlnm.Print_Titles" localSheetId="6">'Relatorios LOTE 03'!$1:$2</definedName>
    <definedName name="_xlnm.Print_Titles" localSheetId="8">'Relatorios LOTE 04'!$1:$2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4" i="39" l="1"/>
  <c r="B113" i="39"/>
  <c r="B112" i="39"/>
  <c r="D14" i="2" l="1"/>
  <c r="E14" i="2"/>
  <c r="C9" i="2"/>
  <c r="C8" i="2"/>
  <c r="C14" i="2" s="1"/>
  <c r="B7" i="2"/>
  <c r="B6" i="2"/>
  <c r="B5" i="2"/>
  <c r="B14" i="2" s="1"/>
  <c r="D8" i="37"/>
  <c r="W6" i="40" l="1"/>
  <c r="W7" i="40"/>
  <c r="W8" i="40"/>
  <c r="W9" i="40"/>
  <c r="W5" i="40"/>
  <c r="W6" i="41"/>
  <c r="W7" i="41"/>
  <c r="W8" i="41"/>
  <c r="W9" i="41"/>
  <c r="W5" i="41"/>
  <c r="P6" i="45"/>
  <c r="P7" i="45"/>
  <c r="P8" i="45"/>
  <c r="P9" i="45"/>
  <c r="P10" i="45"/>
  <c r="P11" i="45"/>
  <c r="P5" i="45"/>
  <c r="W6" i="42"/>
  <c r="W7" i="42"/>
  <c r="W8" i="42"/>
  <c r="W9" i="42"/>
  <c r="W5" i="42"/>
  <c r="P6" i="44"/>
  <c r="P7" i="44"/>
  <c r="P8" i="44"/>
  <c r="P9" i="44"/>
  <c r="P5" i="44"/>
  <c r="J122" i="8" l="1"/>
  <c r="J121" i="8"/>
  <c r="J120" i="8"/>
  <c r="J119" i="8"/>
  <c r="J122" i="34"/>
  <c r="J121" i="34"/>
  <c r="J120" i="34"/>
  <c r="J119" i="34"/>
  <c r="D108" i="37"/>
  <c r="D109" i="37"/>
  <c r="D110" i="37"/>
  <c r="D107" i="37"/>
  <c r="J110" i="37"/>
  <c r="J109" i="39"/>
  <c r="J109" i="37"/>
  <c r="J108" i="37"/>
  <c r="J107" i="37"/>
  <c r="J110" i="39"/>
  <c r="D110" i="39" s="1"/>
  <c r="D109" i="39"/>
  <c r="D108" i="39"/>
  <c r="D107" i="39"/>
  <c r="J108" i="39"/>
  <c r="J107" i="39"/>
  <c r="K10" i="43"/>
  <c r="W10" i="40"/>
  <c r="W10" i="41"/>
  <c r="P12" i="45"/>
  <c r="P10" i="44"/>
  <c r="W10" i="42"/>
  <c r="D89" i="39" l="1"/>
  <c r="D88" i="39"/>
  <c r="D69" i="39"/>
  <c r="D68" i="39"/>
  <c r="D49" i="39"/>
  <c r="D48" i="39"/>
  <c r="D29" i="39"/>
  <c r="D28" i="39"/>
  <c r="D9" i="39"/>
  <c r="D8" i="39"/>
  <c r="D89" i="37" l="1"/>
  <c r="D88" i="37"/>
  <c r="D87" i="37"/>
  <c r="D69" i="37"/>
  <c r="D68" i="37"/>
  <c r="D49" i="37"/>
  <c r="D48" i="37"/>
  <c r="D29" i="37"/>
  <c r="D28" i="37"/>
  <c r="D9" i="37"/>
  <c r="J6" i="43"/>
  <c r="J7" i="43"/>
  <c r="J8" i="43"/>
  <c r="J9" i="43"/>
  <c r="J5" i="43"/>
  <c r="G6" i="43"/>
  <c r="G7" i="43"/>
  <c r="G8" i="43"/>
  <c r="G9" i="43"/>
  <c r="G5" i="43"/>
  <c r="U8" i="40"/>
  <c r="U9" i="40"/>
  <c r="U6" i="40"/>
  <c r="U7" i="40"/>
  <c r="U5" i="40"/>
  <c r="R6" i="40"/>
  <c r="R7" i="40"/>
  <c r="R8" i="40"/>
  <c r="R9" i="40"/>
  <c r="R5" i="40"/>
  <c r="U6" i="41"/>
  <c r="U7" i="41"/>
  <c r="U8" i="41"/>
  <c r="U9" i="41"/>
  <c r="U5" i="41"/>
  <c r="R6" i="41"/>
  <c r="R7" i="41"/>
  <c r="R8" i="41"/>
  <c r="R9" i="41"/>
  <c r="N6" i="45"/>
  <c r="N7" i="45"/>
  <c r="N8" i="45"/>
  <c r="N9" i="45"/>
  <c r="N10" i="45"/>
  <c r="N11" i="45"/>
  <c r="N5" i="45"/>
  <c r="K6" i="45"/>
  <c r="K7" i="45"/>
  <c r="K8" i="45"/>
  <c r="K9" i="45"/>
  <c r="K10" i="45"/>
  <c r="K11" i="45"/>
  <c r="K5" i="45"/>
  <c r="U8" i="42"/>
  <c r="U9" i="42"/>
  <c r="U6" i="42"/>
  <c r="U7" i="42"/>
  <c r="U5" i="42"/>
  <c r="R6" i="42"/>
  <c r="R7" i="42"/>
  <c r="R8" i="42"/>
  <c r="R9" i="42"/>
  <c r="R5" i="42"/>
  <c r="N9" i="40"/>
  <c r="N8" i="40"/>
  <c r="N7" i="40"/>
  <c r="N6" i="40"/>
  <c r="N5" i="40"/>
  <c r="K9" i="40"/>
  <c r="K8" i="40"/>
  <c r="K7" i="40"/>
  <c r="K6" i="40"/>
  <c r="K5" i="40"/>
  <c r="H9" i="40"/>
  <c r="H8" i="40"/>
  <c r="H7" i="40"/>
  <c r="H6" i="40"/>
  <c r="H5" i="40"/>
  <c r="E6" i="40"/>
  <c r="E7" i="40"/>
  <c r="E8" i="40"/>
  <c r="E9" i="40"/>
  <c r="E5" i="40"/>
  <c r="R5" i="41"/>
  <c r="H11" i="45"/>
  <c r="H10" i="45"/>
  <c r="H9" i="45"/>
  <c r="H8" i="45"/>
  <c r="H7" i="45"/>
  <c r="H6" i="45"/>
  <c r="H5" i="45"/>
  <c r="E10" i="45"/>
  <c r="E11" i="45"/>
  <c r="E9" i="45"/>
  <c r="E8" i="45"/>
  <c r="E7" i="45"/>
  <c r="E6" i="45"/>
  <c r="E5" i="45"/>
  <c r="N9" i="42"/>
  <c r="N8" i="42"/>
  <c r="N7" i="42"/>
  <c r="N6" i="42"/>
  <c r="N5" i="42"/>
  <c r="K9" i="42"/>
  <c r="K8" i="42"/>
  <c r="K7" i="42"/>
  <c r="K6" i="42"/>
  <c r="K5" i="42"/>
  <c r="H9" i="42"/>
  <c r="H8" i="42"/>
  <c r="H7" i="42"/>
  <c r="H6" i="42"/>
  <c r="H5" i="42"/>
  <c r="E6" i="42"/>
  <c r="E7" i="42"/>
  <c r="E8" i="42"/>
  <c r="E9" i="42"/>
  <c r="E5" i="42"/>
  <c r="N6" i="44"/>
  <c r="N7" i="44"/>
  <c r="N8" i="44"/>
  <c r="N9" i="44"/>
  <c r="N5" i="44"/>
  <c r="K6" i="44"/>
  <c r="K7" i="44"/>
  <c r="K8" i="44"/>
  <c r="K9" i="44"/>
  <c r="K5" i="44"/>
  <c r="H6" i="44"/>
  <c r="H7" i="44"/>
  <c r="H8" i="44"/>
  <c r="H9" i="44"/>
  <c r="H5" i="44"/>
  <c r="E6" i="44"/>
  <c r="E7" i="44"/>
  <c r="E8" i="44"/>
  <c r="E9" i="44"/>
  <c r="E5" i="44"/>
  <c r="E12" i="44"/>
  <c r="K9" i="43" l="1"/>
  <c r="K7" i="43"/>
  <c r="K6" i="43"/>
  <c r="K9" i="41"/>
  <c r="E9" i="41"/>
  <c r="K8" i="41"/>
  <c r="E8" i="41"/>
  <c r="N7" i="41"/>
  <c r="K7" i="41"/>
  <c r="H7" i="41"/>
  <c r="E7" i="41"/>
  <c r="N6" i="41"/>
  <c r="H6" i="41"/>
  <c r="E6" i="41"/>
  <c r="K5" i="41"/>
  <c r="E5" i="41"/>
  <c r="K8" i="43" l="1"/>
  <c r="K5" i="43"/>
  <c r="A6" i="2"/>
  <c r="A7" i="2"/>
  <c r="A8" i="2"/>
  <c r="A9" i="2"/>
  <c r="A10" i="2"/>
  <c r="A11" i="2"/>
  <c r="A12" i="2"/>
  <c r="A13" i="2"/>
  <c r="A5" i="2"/>
  <c r="F8" i="30"/>
  <c r="F7" i="30"/>
  <c r="F6" i="30"/>
  <c r="C6" i="30"/>
  <c r="D6" i="30"/>
  <c r="C7" i="30"/>
  <c r="D7" i="30"/>
  <c r="C8" i="30"/>
  <c r="D8" i="30"/>
  <c r="E7" i="30"/>
  <c r="E8" i="30"/>
  <c r="E6" i="30"/>
  <c r="C3" i="33"/>
  <c r="C2" i="33"/>
  <c r="C3" i="4"/>
  <c r="C2" i="4"/>
  <c r="C3" i="38"/>
  <c r="C2" i="38"/>
  <c r="C3" i="36"/>
  <c r="C2" i="36"/>
  <c r="D17" i="8" l="1"/>
  <c r="D16" i="8"/>
  <c r="D15" i="8"/>
  <c r="K6" i="30"/>
  <c r="J6" i="30"/>
  <c r="I6" i="30"/>
  <c r="H6" i="30"/>
  <c r="G6" i="30"/>
  <c r="D124" i="39" l="1"/>
  <c r="J113" i="39"/>
  <c r="D113" i="39" s="1"/>
  <c r="J114" i="39"/>
  <c r="D114" i="39" s="1"/>
  <c r="J112" i="39"/>
  <c r="D112" i="39"/>
  <c r="E41" i="4" l="1"/>
  <c r="E41" i="33"/>
  <c r="E41" i="36"/>
  <c r="E41" i="38"/>
  <c r="G15" i="3"/>
  <c r="D136" i="39" l="1"/>
  <c r="B136" i="39"/>
  <c r="A136" i="39"/>
  <c r="D135" i="39"/>
  <c r="E58" i="38" s="1"/>
  <c r="B135" i="39"/>
  <c r="A135" i="39"/>
  <c r="D134" i="39"/>
  <c r="B134" i="39"/>
  <c r="A134" i="39"/>
  <c r="D133" i="39"/>
  <c r="B133" i="39"/>
  <c r="A133" i="39"/>
  <c r="D132" i="39"/>
  <c r="B132" i="39"/>
  <c r="A132" i="39"/>
  <c r="D131" i="39"/>
  <c r="B131" i="39"/>
  <c r="A131" i="39"/>
  <c r="E120" i="39"/>
  <c r="B110" i="39"/>
  <c r="B109" i="39"/>
  <c r="B108" i="39"/>
  <c r="B107" i="39"/>
  <c r="B105" i="39"/>
  <c r="E95" i="39"/>
  <c r="B89" i="39"/>
  <c r="B88" i="39"/>
  <c r="B87" i="39"/>
  <c r="B85" i="39"/>
  <c r="E75" i="39"/>
  <c r="B69" i="39"/>
  <c r="B68" i="39"/>
  <c r="B67" i="39"/>
  <c r="B65" i="39"/>
  <c r="E55" i="39"/>
  <c r="B49" i="39"/>
  <c r="B48" i="39"/>
  <c r="B47" i="39"/>
  <c r="B45" i="39"/>
  <c r="E35" i="39"/>
  <c r="B29" i="39"/>
  <c r="B28" i="39"/>
  <c r="B27" i="39"/>
  <c r="B25" i="39"/>
  <c r="E15" i="39"/>
  <c r="B9" i="39"/>
  <c r="B8" i="39"/>
  <c r="B7" i="39"/>
  <c r="O6" i="39"/>
  <c r="O7" i="39" s="1"/>
  <c r="J7" i="39" s="1"/>
  <c r="M5" i="39"/>
  <c r="B5" i="39"/>
  <c r="E59" i="38"/>
  <c r="E57" i="38"/>
  <c r="E56" i="38"/>
  <c r="E55" i="38"/>
  <c r="E54" i="38"/>
  <c r="F44" i="38"/>
  <c r="H43" i="38"/>
  <c r="F41" i="38"/>
  <c r="H40" i="38"/>
  <c r="C38" i="38"/>
  <c r="C37" i="38"/>
  <c r="H36" i="38"/>
  <c r="C34" i="38"/>
  <c r="H33" i="38"/>
  <c r="C31" i="38"/>
  <c r="C30" i="38"/>
  <c r="H29" i="38"/>
  <c r="H26" i="38"/>
  <c r="C24" i="38"/>
  <c r="C23" i="38"/>
  <c r="C20" i="38"/>
  <c r="C17" i="38"/>
  <c r="C16" i="38"/>
  <c r="C15" i="38"/>
  <c r="C14" i="38"/>
  <c r="C13" i="38"/>
  <c r="E10" i="38"/>
  <c r="C10" i="38"/>
  <c r="H1" i="39"/>
  <c r="C1" i="39"/>
  <c r="D132" i="37"/>
  <c r="B132" i="37"/>
  <c r="A132" i="37"/>
  <c r="D131" i="37"/>
  <c r="B131" i="37"/>
  <c r="A131" i="37"/>
  <c r="D130" i="37"/>
  <c r="E57" i="36" s="1"/>
  <c r="B130" i="37"/>
  <c r="A130" i="37"/>
  <c r="D129" i="37"/>
  <c r="B129" i="37"/>
  <c r="A129" i="37"/>
  <c r="D128" i="37"/>
  <c r="B128" i="37"/>
  <c r="A128" i="37"/>
  <c r="D127" i="37"/>
  <c r="B127" i="37"/>
  <c r="A127" i="37"/>
  <c r="E116" i="37"/>
  <c r="B110" i="37"/>
  <c r="B109" i="37"/>
  <c r="B108" i="37"/>
  <c r="B107" i="37"/>
  <c r="B105" i="37"/>
  <c r="E95" i="37"/>
  <c r="B89" i="37"/>
  <c r="B88" i="37"/>
  <c r="B87" i="37"/>
  <c r="B85" i="37"/>
  <c r="E75" i="37"/>
  <c r="B69" i="37"/>
  <c r="B68" i="37"/>
  <c r="B67" i="37"/>
  <c r="B65" i="37"/>
  <c r="E55" i="37"/>
  <c r="B49" i="37"/>
  <c r="B48" i="37"/>
  <c r="B47" i="37"/>
  <c r="B45" i="37"/>
  <c r="E35" i="37"/>
  <c r="B29" i="37"/>
  <c r="B28" i="37"/>
  <c r="B27" i="37"/>
  <c r="B25" i="37"/>
  <c r="E15" i="37"/>
  <c r="B9" i="37"/>
  <c r="B8" i="37"/>
  <c r="B7" i="37"/>
  <c r="O6" i="37"/>
  <c r="O7" i="37" s="1"/>
  <c r="J7" i="37" s="1"/>
  <c r="M5" i="37"/>
  <c r="B5" i="37"/>
  <c r="E59" i="36"/>
  <c r="E58" i="36"/>
  <c r="E56" i="36"/>
  <c r="E55" i="36"/>
  <c r="E54" i="36"/>
  <c r="F44" i="36"/>
  <c r="H43" i="36"/>
  <c r="F41" i="36"/>
  <c r="H40" i="36"/>
  <c r="C38" i="36"/>
  <c r="C37" i="36"/>
  <c r="H36" i="36"/>
  <c r="C34" i="36"/>
  <c r="H33" i="36"/>
  <c r="C31" i="36"/>
  <c r="C30" i="36"/>
  <c r="H29" i="36"/>
  <c r="H26" i="36"/>
  <c r="C24" i="36"/>
  <c r="C23" i="36"/>
  <c r="C20" i="36"/>
  <c r="C17" i="36"/>
  <c r="C16" i="36"/>
  <c r="C15" i="36"/>
  <c r="C14" i="36"/>
  <c r="C13" i="36"/>
  <c r="E10" i="36"/>
  <c r="C10" i="36"/>
  <c r="H1" i="37"/>
  <c r="C1" i="37"/>
  <c r="D120" i="37" l="1"/>
  <c r="F59" i="36" s="1"/>
  <c r="D87" i="39"/>
  <c r="D67" i="39"/>
  <c r="D27" i="39"/>
  <c r="D47" i="39"/>
  <c r="D7" i="39"/>
  <c r="D7" i="37"/>
  <c r="D47" i="37"/>
  <c r="D27" i="37"/>
  <c r="D67" i="37"/>
  <c r="D79" i="39" l="1"/>
  <c r="F59" i="38"/>
  <c r="D99" i="39"/>
  <c r="D39" i="39"/>
  <c r="D19" i="39"/>
  <c r="D59" i="39"/>
  <c r="D59" i="37"/>
  <c r="D39" i="37"/>
  <c r="D99" i="37"/>
  <c r="I59" i="36"/>
  <c r="D19" i="37"/>
  <c r="D79" i="37"/>
  <c r="F58" i="38" l="1"/>
  <c r="I58" i="38" s="1"/>
  <c r="F57" i="38"/>
  <c r="I57" i="38" s="1"/>
  <c r="F55" i="38"/>
  <c r="I55" i="38" s="1"/>
  <c r="F56" i="38"/>
  <c r="I56" i="38" s="1"/>
  <c r="F54" i="38"/>
  <c r="I54" i="38" s="1"/>
  <c r="I59" i="38"/>
  <c r="F58" i="36"/>
  <c r="I58" i="36" s="1"/>
  <c r="F55" i="36"/>
  <c r="I55" i="36" s="1"/>
  <c r="F57" i="36"/>
  <c r="I57" i="36" s="1"/>
  <c r="F54" i="36"/>
  <c r="I54" i="36" s="1"/>
  <c r="F56" i="36"/>
  <c r="I56" i="36" s="1"/>
  <c r="E37" i="38" l="1"/>
  <c r="E38" i="38"/>
  <c r="E34" i="38"/>
  <c r="I61" i="38"/>
  <c r="I65" i="38" s="1"/>
  <c r="I61" i="36"/>
  <c r="I65" i="36" s="1"/>
  <c r="E34" i="36"/>
  <c r="E37" i="36"/>
  <c r="E38" i="36"/>
  <c r="C1" i="34" l="1"/>
  <c r="H1" i="34"/>
  <c r="D144" i="34"/>
  <c r="B144" i="34"/>
  <c r="A144" i="34"/>
  <c r="D143" i="34"/>
  <c r="B143" i="34"/>
  <c r="A143" i="34"/>
  <c r="D142" i="34"/>
  <c r="B142" i="34"/>
  <c r="A142" i="34"/>
  <c r="D141" i="34"/>
  <c r="B141" i="34"/>
  <c r="A141" i="34"/>
  <c r="D140" i="34"/>
  <c r="B140" i="34"/>
  <c r="A140" i="34"/>
  <c r="D139" i="34"/>
  <c r="B139" i="34"/>
  <c r="A139" i="34"/>
  <c r="D122" i="34"/>
  <c r="B122" i="34"/>
  <c r="D121" i="34"/>
  <c r="D132" i="34" s="1"/>
  <c r="B121" i="34"/>
  <c r="B120" i="34"/>
  <c r="B119" i="34"/>
  <c r="B117" i="34"/>
  <c r="B101" i="34"/>
  <c r="B100" i="34"/>
  <c r="B99" i="34"/>
  <c r="B97" i="34"/>
  <c r="B81" i="34"/>
  <c r="B80" i="34"/>
  <c r="B79" i="34"/>
  <c r="B77" i="34"/>
  <c r="E64" i="34"/>
  <c r="B58" i="34"/>
  <c r="B57" i="34"/>
  <c r="B56" i="34"/>
  <c r="B54" i="34"/>
  <c r="E41" i="34"/>
  <c r="B35" i="34"/>
  <c r="B34" i="34"/>
  <c r="B33" i="34"/>
  <c r="B31" i="34"/>
  <c r="E18" i="34"/>
  <c r="E17" i="34"/>
  <c r="E16" i="34"/>
  <c r="E15" i="34"/>
  <c r="B9" i="34"/>
  <c r="B8" i="34"/>
  <c r="B7" i="34"/>
  <c r="O6" i="34"/>
  <c r="O7" i="34" s="1"/>
  <c r="J7" i="34" s="1"/>
  <c r="M5" i="34"/>
  <c r="B5" i="34"/>
  <c r="E59" i="33"/>
  <c r="E58" i="33"/>
  <c r="E57" i="33"/>
  <c r="E56" i="33"/>
  <c r="E55" i="33"/>
  <c r="E54" i="33"/>
  <c r="H43" i="33"/>
  <c r="F41" i="33"/>
  <c r="H40" i="33"/>
  <c r="C38" i="33"/>
  <c r="C37" i="33"/>
  <c r="H36" i="33"/>
  <c r="C34" i="33"/>
  <c r="H33" i="33"/>
  <c r="C31" i="33"/>
  <c r="C30" i="33"/>
  <c r="H29" i="33"/>
  <c r="H26" i="33"/>
  <c r="C24" i="33"/>
  <c r="C23" i="33"/>
  <c r="C20" i="33"/>
  <c r="C17" i="33"/>
  <c r="C16" i="33"/>
  <c r="C15" i="33"/>
  <c r="C14" i="33"/>
  <c r="C13" i="33"/>
  <c r="E10" i="33"/>
  <c r="C10" i="33"/>
  <c r="I41" i="36" l="1"/>
  <c r="I40" i="36" s="1"/>
  <c r="I41" i="38"/>
  <c r="I40" i="38" s="1"/>
  <c r="I41" i="33"/>
  <c r="I40" i="33" s="1"/>
  <c r="D101" i="34"/>
  <c r="D99" i="34"/>
  <c r="D64" i="34"/>
  <c r="H64" i="34" s="1"/>
  <c r="H63" i="34" s="1"/>
  <c r="D81" i="34"/>
  <c r="D79" i="34"/>
  <c r="D57" i="34"/>
  <c r="D35" i="34"/>
  <c r="D33" i="34"/>
  <c r="D100" i="34"/>
  <c r="D41" i="34"/>
  <c r="H41" i="34" s="1"/>
  <c r="H40" i="34" s="1"/>
  <c r="D80" i="34"/>
  <c r="D58" i="34"/>
  <c r="D56" i="34"/>
  <c r="D34" i="34"/>
  <c r="F59" i="33"/>
  <c r="D8" i="34"/>
  <c r="D7" i="34"/>
  <c r="D9" i="34"/>
  <c r="E64" i="8"/>
  <c r="E41" i="8"/>
  <c r="E18" i="8"/>
  <c r="E17" i="8"/>
  <c r="E16" i="8"/>
  <c r="E15" i="8"/>
  <c r="D91" i="34" l="1"/>
  <c r="D48" i="34"/>
  <c r="D71" i="34"/>
  <c r="D111" i="34"/>
  <c r="I59" i="33"/>
  <c r="D25" i="34"/>
  <c r="I24" i="32"/>
  <c r="I23" i="32"/>
  <c r="I22" i="32"/>
  <c r="I21" i="32"/>
  <c r="I20" i="32"/>
  <c r="G8" i="30"/>
  <c r="G7" i="30"/>
  <c r="F54" i="33" l="1"/>
  <c r="I54" i="33" s="1"/>
  <c r="F55" i="33"/>
  <c r="I55" i="33" s="1"/>
  <c r="F58" i="33"/>
  <c r="I58" i="33" s="1"/>
  <c r="F56" i="33"/>
  <c r="I56" i="33" s="1"/>
  <c r="F57" i="33"/>
  <c r="I57" i="33" s="1"/>
  <c r="H41" i="5"/>
  <c r="H40" i="5"/>
  <c r="H39" i="5"/>
  <c r="G24" i="5"/>
  <c r="G23" i="5"/>
  <c r="G19" i="5"/>
  <c r="E16" i="37" l="1"/>
  <c r="E36" i="39"/>
  <c r="E36" i="37"/>
  <c r="E96" i="39"/>
  <c r="E56" i="39"/>
  <c r="E16" i="39"/>
  <c r="E96" i="37"/>
  <c r="E56" i="37"/>
  <c r="F45" i="36"/>
  <c r="E76" i="39"/>
  <c r="E76" i="37"/>
  <c r="E121" i="39"/>
  <c r="F45" i="38"/>
  <c r="E117" i="37"/>
  <c r="F27" i="38"/>
  <c r="E52" i="39"/>
  <c r="E12" i="37"/>
  <c r="F27" i="36"/>
  <c r="E113" i="37"/>
  <c r="E72" i="39"/>
  <c r="E52" i="37"/>
  <c r="E32" i="39"/>
  <c r="E72" i="37"/>
  <c r="E92" i="39"/>
  <c r="E92" i="37"/>
  <c r="E32" i="37"/>
  <c r="E117" i="39"/>
  <c r="E12" i="39"/>
  <c r="E67" i="34"/>
  <c r="F44" i="33"/>
  <c r="E44" i="34"/>
  <c r="E128" i="34"/>
  <c r="E21" i="34"/>
  <c r="E107" i="34"/>
  <c r="E87" i="34"/>
  <c r="E107" i="8"/>
  <c r="E128" i="8"/>
  <c r="E87" i="8"/>
  <c r="E84" i="34"/>
  <c r="F27" i="33"/>
  <c r="E61" i="34"/>
  <c r="E125" i="34"/>
  <c r="E38" i="34"/>
  <c r="E12" i="34"/>
  <c r="E104" i="34"/>
  <c r="E125" i="8"/>
  <c r="E104" i="8"/>
  <c r="E84" i="8"/>
  <c r="E45" i="34"/>
  <c r="F45" i="33"/>
  <c r="E129" i="34"/>
  <c r="E22" i="34"/>
  <c r="E108" i="34"/>
  <c r="E88" i="34"/>
  <c r="E68" i="34"/>
  <c r="E108" i="8"/>
  <c r="E88" i="8"/>
  <c r="E129" i="8"/>
  <c r="I61" i="33"/>
  <c r="I65" i="33" s="1"/>
  <c r="E38" i="33"/>
  <c r="E37" i="33"/>
  <c r="E34" i="33"/>
  <c r="E44" i="8"/>
  <c r="K8" i="30" l="1"/>
  <c r="D18" i="34" s="1"/>
  <c r="H18" i="34" s="1"/>
  <c r="H14" i="34" s="1"/>
  <c r="J8" i="30"/>
  <c r="D17" i="34" s="1"/>
  <c r="H17" i="34" s="1"/>
  <c r="I8" i="30"/>
  <c r="D16" i="34" s="1"/>
  <c r="H16" i="34" s="1"/>
  <c r="H8" i="30"/>
  <c r="D15" i="34" s="1"/>
  <c r="H15" i="34" s="1"/>
  <c r="K7" i="30"/>
  <c r="D18" i="8" s="1"/>
  <c r="J7" i="30"/>
  <c r="I7" i="30"/>
  <c r="H16" i="8" s="1"/>
  <c r="H7" i="30"/>
  <c r="H18" i="8" l="1"/>
  <c r="H17" i="8"/>
  <c r="F45" i="4" l="1"/>
  <c r="F44" i="4"/>
  <c r="F27" i="4"/>
  <c r="E68" i="8"/>
  <c r="E67" i="8"/>
  <c r="E61" i="8"/>
  <c r="E45" i="8"/>
  <c r="E38" i="8"/>
  <c r="E22" i="8"/>
  <c r="E21" i="8"/>
  <c r="E12" i="8"/>
  <c r="H26" i="4" l="1"/>
  <c r="H29" i="4"/>
  <c r="H33" i="4"/>
  <c r="H36" i="4"/>
  <c r="H43" i="4"/>
  <c r="H40" i="4"/>
  <c r="F23" i="5"/>
  <c r="F24" i="5"/>
  <c r="F22" i="5"/>
  <c r="F20" i="5"/>
  <c r="F19" i="5"/>
  <c r="F14" i="5"/>
  <c r="F15" i="5"/>
  <c r="F16" i="5"/>
  <c r="F13" i="5"/>
  <c r="F11" i="5"/>
  <c r="D122" i="8"/>
  <c r="D121" i="8"/>
  <c r="K12" i="5"/>
  <c r="K13" i="5"/>
  <c r="K14" i="5"/>
  <c r="B7" i="8" s="1"/>
  <c r="K15" i="5"/>
  <c r="B33" i="8" s="1"/>
  <c r="K16" i="5"/>
  <c r="B121" i="8" s="1"/>
  <c r="K17" i="5"/>
  <c r="K18" i="5"/>
  <c r="K19" i="5"/>
  <c r="B122" i="8" s="1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11" i="5"/>
  <c r="G33" i="5"/>
  <c r="G29" i="5"/>
  <c r="G28" i="5"/>
  <c r="G22" i="5"/>
  <c r="G20" i="5"/>
  <c r="G16" i="5"/>
  <c r="G15" i="5"/>
  <c r="G14" i="5"/>
  <c r="G13" i="5"/>
  <c r="G11" i="5"/>
  <c r="G35" i="5"/>
  <c r="G34" i="5"/>
  <c r="G23" i="38" l="1"/>
  <c r="G23" i="36"/>
  <c r="G23" i="33"/>
  <c r="G24" i="36"/>
  <c r="G24" i="38"/>
  <c r="G24" i="33"/>
  <c r="G10" i="38"/>
  <c r="G10" i="36"/>
  <c r="G10" i="33"/>
  <c r="G17" i="36"/>
  <c r="G17" i="38"/>
  <c r="G17" i="33"/>
  <c r="G13" i="36"/>
  <c r="G13" i="38"/>
  <c r="G13" i="33"/>
  <c r="F113" i="39"/>
  <c r="F8" i="39"/>
  <c r="G16" i="36"/>
  <c r="F109" i="39"/>
  <c r="G16" i="38"/>
  <c r="F108" i="37"/>
  <c r="F88" i="37"/>
  <c r="F68" i="37"/>
  <c r="F48" i="37"/>
  <c r="F108" i="39"/>
  <c r="F28" i="37"/>
  <c r="F8" i="37"/>
  <c r="F88" i="39"/>
  <c r="F68" i="39"/>
  <c r="F48" i="39"/>
  <c r="F28" i="39"/>
  <c r="F109" i="37"/>
  <c r="F34" i="34"/>
  <c r="F57" i="34"/>
  <c r="F121" i="34"/>
  <c r="F80" i="34"/>
  <c r="F8" i="34"/>
  <c r="G16" i="33"/>
  <c r="F100" i="34"/>
  <c r="F120" i="34"/>
  <c r="G15" i="4"/>
  <c r="F112" i="39"/>
  <c r="F47" i="39"/>
  <c r="F27" i="39"/>
  <c r="G15" i="38"/>
  <c r="G15" i="36"/>
  <c r="F47" i="37"/>
  <c r="F27" i="37"/>
  <c r="G15" i="33"/>
  <c r="F33" i="34"/>
  <c r="F56" i="34"/>
  <c r="G14" i="4"/>
  <c r="G14" i="36"/>
  <c r="F67" i="37"/>
  <c r="F7" i="39"/>
  <c r="F107" i="37"/>
  <c r="F87" i="37"/>
  <c r="G14" i="38"/>
  <c r="F67" i="39"/>
  <c r="F107" i="39"/>
  <c r="F87" i="39"/>
  <c r="F7" i="37"/>
  <c r="F7" i="34"/>
  <c r="F79" i="34"/>
  <c r="G14" i="33"/>
  <c r="F99" i="34"/>
  <c r="F119" i="34"/>
  <c r="G20" i="4"/>
  <c r="F114" i="39"/>
  <c r="F89" i="37"/>
  <c r="F69" i="37"/>
  <c r="F49" i="37"/>
  <c r="F29" i="37"/>
  <c r="F89" i="39"/>
  <c r="F9" i="37"/>
  <c r="G20" i="36"/>
  <c r="F69" i="39"/>
  <c r="F110" i="37"/>
  <c r="F49" i="39"/>
  <c r="G20" i="38"/>
  <c r="F29" i="39"/>
  <c r="F9" i="39"/>
  <c r="F110" i="39"/>
  <c r="F58" i="34"/>
  <c r="F101" i="34"/>
  <c r="F122" i="34"/>
  <c r="F35" i="34"/>
  <c r="F81" i="34"/>
  <c r="F9" i="34"/>
  <c r="G20" i="33"/>
  <c r="G10" i="4"/>
  <c r="G24" i="4"/>
  <c r="B8" i="8"/>
  <c r="C17" i="4"/>
  <c r="B57" i="8"/>
  <c r="C31" i="4"/>
  <c r="B58" i="8"/>
  <c r="C37" i="4"/>
  <c r="B80" i="8"/>
  <c r="C38" i="4"/>
  <c r="B100" i="8"/>
  <c r="B120" i="8"/>
  <c r="B99" i="8"/>
  <c r="B81" i="8"/>
  <c r="B101" i="8"/>
  <c r="G17" i="4"/>
  <c r="G23" i="4"/>
  <c r="B119" i="8"/>
  <c r="C34" i="4"/>
  <c r="F99" i="8"/>
  <c r="F7" i="8"/>
  <c r="F79" i="8"/>
  <c r="F119" i="8"/>
  <c r="C23" i="4"/>
  <c r="B9" i="8"/>
  <c r="B79" i="8"/>
  <c r="F56" i="8"/>
  <c r="F33" i="8"/>
  <c r="F101" i="8"/>
  <c r="F9" i="8"/>
  <c r="F81" i="8"/>
  <c r="F122" i="8"/>
  <c r="F58" i="8"/>
  <c r="F35" i="8"/>
  <c r="C24" i="4"/>
  <c r="B34" i="8"/>
  <c r="F100" i="8"/>
  <c r="F80" i="8"/>
  <c r="F57" i="8"/>
  <c r="F120" i="8"/>
  <c r="F121" i="8"/>
  <c r="F34" i="8"/>
  <c r="F8" i="8"/>
  <c r="C20" i="4"/>
  <c r="C30" i="4"/>
  <c r="B35" i="8"/>
  <c r="B56" i="8"/>
  <c r="D132" i="8"/>
  <c r="C16" i="4"/>
  <c r="G13" i="4"/>
  <c r="C10" i="4"/>
  <c r="C13" i="4"/>
  <c r="C15" i="4"/>
  <c r="C14" i="4"/>
  <c r="G16" i="4"/>
  <c r="H29" i="5" l="1"/>
  <c r="F31" i="33" l="1"/>
  <c r="I31" i="33" s="1"/>
  <c r="F31" i="38"/>
  <c r="I31" i="38" s="1"/>
  <c r="F31" i="36"/>
  <c r="I31" i="36" s="1"/>
  <c r="F31" i="4"/>
  <c r="A144" i="8" l="1"/>
  <c r="A143" i="8"/>
  <c r="A142" i="8"/>
  <c r="A141" i="8"/>
  <c r="A140" i="8"/>
  <c r="B139" i="8"/>
  <c r="M5" i="8" l="1"/>
  <c r="D144" i="8" l="1"/>
  <c r="D143" i="8"/>
  <c r="D142" i="8"/>
  <c r="D141" i="8"/>
  <c r="D140" i="8"/>
  <c r="D139" i="8"/>
  <c r="E10" i="4" l="1"/>
  <c r="C1" i="8" l="1"/>
  <c r="E59" i="4"/>
  <c r="B144" i="8"/>
  <c r="E58" i="4"/>
  <c r="B143" i="8"/>
  <c r="E57" i="4"/>
  <c r="B142" i="8"/>
  <c r="E56" i="4"/>
  <c r="B141" i="8"/>
  <c r="E55" i="4"/>
  <c r="B140" i="8"/>
  <c r="E54" i="4"/>
  <c r="A139" i="8"/>
  <c r="B117" i="8"/>
  <c r="B97" i="8"/>
  <c r="B77" i="8"/>
  <c r="B54" i="8"/>
  <c r="B31" i="8"/>
  <c r="O6" i="8"/>
  <c r="O7" i="8" s="1"/>
  <c r="B5" i="8"/>
  <c r="J7" i="8" l="1"/>
  <c r="H34" i="5"/>
  <c r="H23" i="5"/>
  <c r="H22" i="5"/>
  <c r="H20" i="5"/>
  <c r="H17" i="5"/>
  <c r="H15" i="5"/>
  <c r="H14" i="5"/>
  <c r="H51" i="5"/>
  <c r="H52" i="5" s="1"/>
  <c r="G31" i="5" s="1"/>
  <c r="H31" i="5" s="1"/>
  <c r="H49" i="5"/>
  <c r="H48" i="5"/>
  <c r="H47" i="5"/>
  <c r="H33" i="5"/>
  <c r="H1" i="8"/>
  <c r="F34" i="33" l="1"/>
  <c r="I34" i="33" s="1"/>
  <c r="I33" i="33" s="1"/>
  <c r="F34" i="38"/>
  <c r="I34" i="38" s="1"/>
  <c r="I33" i="38" s="1"/>
  <c r="F34" i="36"/>
  <c r="I34" i="36" s="1"/>
  <c r="I33" i="36" s="1"/>
  <c r="F37" i="33"/>
  <c r="I37" i="33" s="1"/>
  <c r="F37" i="38"/>
  <c r="I37" i="38" s="1"/>
  <c r="F37" i="36"/>
  <c r="I37" i="36" s="1"/>
  <c r="F23" i="36"/>
  <c r="F23" i="38"/>
  <c r="F23" i="33"/>
  <c r="F14" i="38"/>
  <c r="F14" i="36"/>
  <c r="E87" i="37"/>
  <c r="E67" i="39"/>
  <c r="E107" i="37"/>
  <c r="E87" i="39"/>
  <c r="E7" i="37"/>
  <c r="E107" i="39"/>
  <c r="E7" i="39"/>
  <c r="E67" i="37"/>
  <c r="E99" i="34"/>
  <c r="F14" i="33"/>
  <c r="E119" i="34"/>
  <c r="E79" i="34"/>
  <c r="E7" i="34"/>
  <c r="E112" i="39"/>
  <c r="E47" i="39"/>
  <c r="E27" i="39"/>
  <c r="F15" i="36"/>
  <c r="E27" i="37"/>
  <c r="E47" i="37"/>
  <c r="F15" i="38"/>
  <c r="E33" i="34"/>
  <c r="E56" i="34"/>
  <c r="F15" i="33"/>
  <c r="F24" i="38"/>
  <c r="F24" i="36"/>
  <c r="F24" i="33"/>
  <c r="F17" i="36"/>
  <c r="F17" i="38"/>
  <c r="F17" i="33"/>
  <c r="D64" i="8"/>
  <c r="H64" i="8" s="1"/>
  <c r="H63" i="8" s="1"/>
  <c r="D41" i="8"/>
  <c r="H41" i="8" s="1"/>
  <c r="H40" i="8" s="1"/>
  <c r="F34" i="4"/>
  <c r="F23" i="4"/>
  <c r="H23" i="4" s="1"/>
  <c r="E119" i="8"/>
  <c r="G119" i="8" s="1"/>
  <c r="E99" i="8"/>
  <c r="E7" i="8"/>
  <c r="E79" i="8"/>
  <c r="F14" i="4"/>
  <c r="E56" i="8"/>
  <c r="E33" i="8"/>
  <c r="F15" i="4"/>
  <c r="F37" i="4"/>
  <c r="F24" i="4"/>
  <c r="H24" i="4" s="1"/>
  <c r="F17" i="4"/>
  <c r="D8" i="8"/>
  <c r="D9" i="8"/>
  <c r="D7" i="8"/>
  <c r="H28" i="5"/>
  <c r="H50" i="5"/>
  <c r="H19" i="5"/>
  <c r="H24" i="5"/>
  <c r="H13" i="5"/>
  <c r="H35" i="5"/>
  <c r="H32" i="5"/>
  <c r="H11" i="5"/>
  <c r="H16" i="5"/>
  <c r="D80" i="8"/>
  <c r="D100" i="8"/>
  <c r="D56" i="8"/>
  <c r="D34" i="8"/>
  <c r="D35" i="8"/>
  <c r="D57" i="8"/>
  <c r="D79" i="8"/>
  <c r="D33" i="8"/>
  <c r="D99" i="8"/>
  <c r="D101" i="8"/>
  <c r="D81" i="8"/>
  <c r="D58" i="8"/>
  <c r="F38" i="33" l="1"/>
  <c r="I38" i="33" s="1"/>
  <c r="I36" i="33" s="1"/>
  <c r="F38" i="38"/>
  <c r="I38" i="38" s="1"/>
  <c r="I36" i="38" s="1"/>
  <c r="F38" i="36"/>
  <c r="I38" i="36" s="1"/>
  <c r="I36" i="36" s="1"/>
  <c r="F30" i="33"/>
  <c r="I30" i="33" s="1"/>
  <c r="I29" i="33" s="1"/>
  <c r="F30" i="38"/>
  <c r="I30" i="38" s="1"/>
  <c r="I29" i="38" s="1"/>
  <c r="F30" i="36"/>
  <c r="I30" i="36" s="1"/>
  <c r="I29" i="36" s="1"/>
  <c r="E114" i="39"/>
  <c r="E110" i="37"/>
  <c r="E89" i="37"/>
  <c r="E29" i="37"/>
  <c r="E49" i="39"/>
  <c r="E69" i="37"/>
  <c r="F20" i="38"/>
  <c r="E49" i="37"/>
  <c r="E9" i="37"/>
  <c r="E69" i="39"/>
  <c r="E9" i="39"/>
  <c r="F20" i="36"/>
  <c r="E110" i="39"/>
  <c r="E89" i="39"/>
  <c r="E29" i="39"/>
  <c r="F20" i="33"/>
  <c r="E58" i="34"/>
  <c r="E101" i="34"/>
  <c r="E9" i="34"/>
  <c r="E35" i="34"/>
  <c r="E122" i="34"/>
  <c r="E81" i="34"/>
  <c r="I23" i="33"/>
  <c r="H23" i="33"/>
  <c r="I23" i="38"/>
  <c r="H23" i="38"/>
  <c r="I23" i="36"/>
  <c r="H23" i="36"/>
  <c r="H56" i="34"/>
  <c r="G56" i="34"/>
  <c r="I14" i="33"/>
  <c r="H14" i="33"/>
  <c r="I15" i="38"/>
  <c r="H15" i="38"/>
  <c r="H67" i="37"/>
  <c r="G67" i="37"/>
  <c r="H47" i="37"/>
  <c r="G47" i="37"/>
  <c r="H7" i="39"/>
  <c r="G7" i="39"/>
  <c r="E113" i="39"/>
  <c r="E68" i="39"/>
  <c r="E48" i="39"/>
  <c r="E109" i="39"/>
  <c r="E108" i="37"/>
  <c r="E109" i="37"/>
  <c r="E88" i="39"/>
  <c r="E8" i="37"/>
  <c r="E108" i="39"/>
  <c r="F16" i="36"/>
  <c r="E28" i="37"/>
  <c r="E8" i="39"/>
  <c r="E48" i="37"/>
  <c r="E28" i="39"/>
  <c r="F16" i="38"/>
  <c r="E68" i="37"/>
  <c r="E88" i="37"/>
  <c r="E121" i="34"/>
  <c r="E57" i="34"/>
  <c r="E8" i="34"/>
  <c r="E120" i="34"/>
  <c r="F16" i="33"/>
  <c r="E80" i="34"/>
  <c r="E34" i="34"/>
  <c r="E100" i="34"/>
  <c r="H107" i="39"/>
  <c r="G107" i="39"/>
  <c r="H7" i="37"/>
  <c r="G7" i="37"/>
  <c r="H87" i="39"/>
  <c r="G87" i="39"/>
  <c r="I15" i="36"/>
  <c r="H15" i="36"/>
  <c r="H47" i="39"/>
  <c r="G47" i="39"/>
  <c r="H107" i="37"/>
  <c r="G107" i="37"/>
  <c r="H27" i="37"/>
  <c r="G27" i="37"/>
  <c r="F13" i="38"/>
  <c r="F13" i="36"/>
  <c r="F13" i="33"/>
  <c r="H27" i="39"/>
  <c r="G27" i="39"/>
  <c r="H112" i="39"/>
  <c r="G112" i="39"/>
  <c r="H67" i="39"/>
  <c r="G67" i="39"/>
  <c r="H7" i="34"/>
  <c r="G7" i="34"/>
  <c r="H87" i="37"/>
  <c r="G87" i="37"/>
  <c r="H33" i="34"/>
  <c r="G33" i="34"/>
  <c r="H79" i="34"/>
  <c r="G79" i="34"/>
  <c r="I14" i="36"/>
  <c r="H14" i="36"/>
  <c r="H99" i="34"/>
  <c r="G99" i="34"/>
  <c r="F10" i="36"/>
  <c r="F10" i="38"/>
  <c r="F10" i="33"/>
  <c r="I15" i="33"/>
  <c r="H15" i="33"/>
  <c r="H119" i="34"/>
  <c r="G119" i="34"/>
  <c r="I14" i="38"/>
  <c r="H14" i="38"/>
  <c r="I17" i="33"/>
  <c r="H17" i="33"/>
  <c r="I17" i="38"/>
  <c r="H17" i="38"/>
  <c r="I17" i="36"/>
  <c r="H17" i="36"/>
  <c r="I24" i="33"/>
  <c r="H24" i="33"/>
  <c r="I24" i="36"/>
  <c r="H24" i="36"/>
  <c r="I24" i="38"/>
  <c r="H24" i="38"/>
  <c r="G56" i="8"/>
  <c r="I23" i="4"/>
  <c r="I24" i="4"/>
  <c r="G99" i="8"/>
  <c r="G7" i="8"/>
  <c r="H119" i="8"/>
  <c r="G33" i="8"/>
  <c r="H22" i="4"/>
  <c r="F10" i="4"/>
  <c r="F30" i="4"/>
  <c r="I30" i="4" s="1"/>
  <c r="I15" i="4"/>
  <c r="H15" i="4"/>
  <c r="E58" i="8"/>
  <c r="G58" i="8" s="1"/>
  <c r="E9" i="8"/>
  <c r="G9" i="8" s="1"/>
  <c r="E101" i="8"/>
  <c r="H101" i="8" s="1"/>
  <c r="E122" i="8"/>
  <c r="G122" i="8" s="1"/>
  <c r="E35" i="8"/>
  <c r="G35" i="8" s="1"/>
  <c r="E81" i="8"/>
  <c r="G81" i="8" s="1"/>
  <c r="F20" i="4"/>
  <c r="F13" i="4"/>
  <c r="E57" i="8"/>
  <c r="G57" i="8" s="1"/>
  <c r="E120" i="8"/>
  <c r="E121" i="8"/>
  <c r="G121" i="8" s="1"/>
  <c r="E34" i="8"/>
  <c r="H34" i="8" s="1"/>
  <c r="E80" i="8"/>
  <c r="G80" i="8" s="1"/>
  <c r="E8" i="8"/>
  <c r="G8" i="8" s="1"/>
  <c r="E100" i="8"/>
  <c r="H100" i="8" s="1"/>
  <c r="F16" i="4"/>
  <c r="G79" i="8"/>
  <c r="I17" i="4"/>
  <c r="H17" i="4"/>
  <c r="F38" i="4"/>
  <c r="H14" i="4"/>
  <c r="I14" i="4"/>
  <c r="H53" i="5"/>
  <c r="G30" i="5"/>
  <c r="H30" i="5" s="1"/>
  <c r="I31" i="4"/>
  <c r="H99" i="8"/>
  <c r="H33" i="8"/>
  <c r="H7" i="8"/>
  <c r="F59" i="4"/>
  <c r="D71" i="8"/>
  <c r="F56" i="4" s="1"/>
  <c r="I56" i="4" s="1"/>
  <c r="H56" i="8"/>
  <c r="D25" i="8"/>
  <c r="F54" i="4" s="1"/>
  <c r="I54" i="4" s="1"/>
  <c r="D111" i="8"/>
  <c r="F58" i="4" s="1"/>
  <c r="I58" i="4" s="1"/>
  <c r="D48" i="8"/>
  <c r="F55" i="4" s="1"/>
  <c r="I55" i="4" s="1"/>
  <c r="D91" i="8"/>
  <c r="F57" i="4" s="1"/>
  <c r="I57" i="4" s="1"/>
  <c r="H79" i="8"/>
  <c r="I22" i="36" l="1"/>
  <c r="H22" i="36"/>
  <c r="I22" i="38"/>
  <c r="H22" i="33"/>
  <c r="I22" i="33"/>
  <c r="H22" i="38"/>
  <c r="I20" i="36"/>
  <c r="I19" i="36" s="1"/>
  <c r="H20" i="36"/>
  <c r="H19" i="36" s="1"/>
  <c r="H9" i="39"/>
  <c r="G9" i="39"/>
  <c r="H35" i="34"/>
  <c r="G35" i="34"/>
  <c r="H49" i="37"/>
  <c r="G49" i="37"/>
  <c r="H81" i="34"/>
  <c r="G81" i="34"/>
  <c r="H9" i="34"/>
  <c r="G9" i="34"/>
  <c r="I20" i="38"/>
  <c r="I19" i="38" s="1"/>
  <c r="H20" i="38"/>
  <c r="H19" i="38" s="1"/>
  <c r="H101" i="34"/>
  <c r="G101" i="34"/>
  <c r="H69" i="37"/>
  <c r="G69" i="37"/>
  <c r="H122" i="34"/>
  <c r="G122" i="34"/>
  <c r="H58" i="34"/>
  <c r="G58" i="34"/>
  <c r="H49" i="39"/>
  <c r="G49" i="39"/>
  <c r="H9" i="37"/>
  <c r="G9" i="37"/>
  <c r="I20" i="33"/>
  <c r="I19" i="33" s="1"/>
  <c r="H20" i="33"/>
  <c r="H19" i="33" s="1"/>
  <c r="H29" i="37"/>
  <c r="G29" i="37"/>
  <c r="H69" i="39"/>
  <c r="G69" i="39"/>
  <c r="H29" i="39"/>
  <c r="G29" i="39"/>
  <c r="H89" i="37"/>
  <c r="G89" i="37"/>
  <c r="H89" i="39"/>
  <c r="G89" i="39"/>
  <c r="H110" i="37"/>
  <c r="G110" i="37"/>
  <c r="H110" i="39"/>
  <c r="G110" i="39"/>
  <c r="H114" i="39"/>
  <c r="G114" i="39"/>
  <c r="H80" i="34"/>
  <c r="H78" i="34" s="1"/>
  <c r="G80" i="34"/>
  <c r="G78" i="34" s="1"/>
  <c r="H28" i="37"/>
  <c r="G28" i="37"/>
  <c r="I16" i="33"/>
  <c r="H16" i="33"/>
  <c r="I16" i="36"/>
  <c r="H16" i="36"/>
  <c r="H120" i="34"/>
  <c r="G120" i="34"/>
  <c r="H108" i="39"/>
  <c r="G108" i="39"/>
  <c r="H8" i="34"/>
  <c r="G8" i="34"/>
  <c r="H8" i="37"/>
  <c r="G8" i="37"/>
  <c r="H57" i="34"/>
  <c r="G57" i="34"/>
  <c r="H88" i="39"/>
  <c r="G88" i="39"/>
  <c r="H34" i="34"/>
  <c r="G34" i="34"/>
  <c r="I13" i="33"/>
  <c r="H13" i="33"/>
  <c r="H121" i="34"/>
  <c r="G121" i="34"/>
  <c r="H109" i="37"/>
  <c r="G109" i="37"/>
  <c r="I13" i="36"/>
  <c r="H13" i="36"/>
  <c r="H88" i="37"/>
  <c r="G88" i="37"/>
  <c r="H108" i="37"/>
  <c r="G108" i="37"/>
  <c r="H8" i="39"/>
  <c r="G8" i="39"/>
  <c r="I13" i="38"/>
  <c r="H13" i="38"/>
  <c r="H68" i="37"/>
  <c r="G68" i="37"/>
  <c r="H109" i="39"/>
  <c r="G109" i="39"/>
  <c r="I10" i="33"/>
  <c r="I9" i="33" s="1"/>
  <c r="H10" i="33"/>
  <c r="H9" i="33" s="1"/>
  <c r="I16" i="38"/>
  <c r="H16" i="38"/>
  <c r="H48" i="39"/>
  <c r="G48" i="39"/>
  <c r="I10" i="38"/>
  <c r="I9" i="38" s="1"/>
  <c r="H10" i="38"/>
  <c r="H9" i="38" s="1"/>
  <c r="H28" i="39"/>
  <c r="G28" i="39"/>
  <c r="H68" i="39"/>
  <c r="G68" i="39"/>
  <c r="I10" i="36"/>
  <c r="I9" i="36" s="1"/>
  <c r="H10" i="36"/>
  <c r="H9" i="36" s="1"/>
  <c r="H100" i="34"/>
  <c r="G100" i="34"/>
  <c r="H48" i="37"/>
  <c r="G48" i="37"/>
  <c r="H113" i="39"/>
  <c r="G113" i="39"/>
  <c r="E37" i="4"/>
  <c r="I37" i="4" s="1"/>
  <c r="I61" i="4"/>
  <c r="I22" i="4"/>
  <c r="H57" i="8"/>
  <c r="H58" i="8"/>
  <c r="G55" i="8"/>
  <c r="E34" i="4"/>
  <c r="E38" i="4"/>
  <c r="H81" i="8"/>
  <c r="H35" i="8"/>
  <c r="H32" i="8" s="1"/>
  <c r="H80" i="8"/>
  <c r="G101" i="8"/>
  <c r="H8" i="8"/>
  <c r="G100" i="8"/>
  <c r="H122" i="8"/>
  <c r="G78" i="8"/>
  <c r="G6" i="8"/>
  <c r="G34" i="8"/>
  <c r="G32" i="8" s="1"/>
  <c r="I16" i="4"/>
  <c r="H16" i="4"/>
  <c r="H9" i="8"/>
  <c r="H15" i="8" s="1"/>
  <c r="H14" i="8" s="1"/>
  <c r="H13" i="4"/>
  <c r="I13" i="4"/>
  <c r="H10" i="4"/>
  <c r="H9" i="4" s="1"/>
  <c r="I10" i="4"/>
  <c r="I9" i="4" s="1"/>
  <c r="H121" i="8"/>
  <c r="H20" i="4"/>
  <c r="H19" i="4" s="1"/>
  <c r="I20" i="4"/>
  <c r="I19" i="4" s="1"/>
  <c r="G120" i="8"/>
  <c r="G118" i="8" s="1"/>
  <c r="H120" i="8"/>
  <c r="I59" i="4"/>
  <c r="I29" i="4"/>
  <c r="F41" i="4"/>
  <c r="H98" i="8"/>
  <c r="G98" i="34" l="1"/>
  <c r="G32" i="34"/>
  <c r="H32" i="34"/>
  <c r="H6" i="39"/>
  <c r="G46" i="39"/>
  <c r="G6" i="39"/>
  <c r="H98" i="34"/>
  <c r="G86" i="39"/>
  <c r="H46" i="37"/>
  <c r="I12" i="38"/>
  <c r="H6" i="34"/>
  <c r="G46" i="37"/>
  <c r="G6" i="34"/>
  <c r="H12" i="38"/>
  <c r="H86" i="39"/>
  <c r="H66" i="37"/>
  <c r="H6" i="37"/>
  <c r="H26" i="37"/>
  <c r="H26" i="39"/>
  <c r="H12" i="36"/>
  <c r="H7" i="36" s="1"/>
  <c r="G6" i="37"/>
  <c r="G26" i="37"/>
  <c r="G86" i="37"/>
  <c r="H86" i="37"/>
  <c r="H46" i="39"/>
  <c r="G66" i="39"/>
  <c r="H66" i="39"/>
  <c r="G55" i="34"/>
  <c r="G26" i="39"/>
  <c r="G66" i="37"/>
  <c r="H55" i="34"/>
  <c r="I12" i="36"/>
  <c r="E27" i="36" s="1"/>
  <c r="I27" i="36" s="1"/>
  <c r="I26" i="36" s="1"/>
  <c r="H12" i="33"/>
  <c r="H7" i="33" s="1"/>
  <c r="G106" i="37"/>
  <c r="G118" i="34"/>
  <c r="H118" i="34"/>
  <c r="H106" i="37"/>
  <c r="I12" i="33"/>
  <c r="H106" i="39"/>
  <c r="D84" i="34"/>
  <c r="H84" i="34" s="1"/>
  <c r="H83" i="34" s="1"/>
  <c r="D87" i="34" s="1"/>
  <c r="H87" i="34" s="1"/>
  <c r="G106" i="39"/>
  <c r="I65" i="4"/>
  <c r="H55" i="8"/>
  <c r="G98" i="8"/>
  <c r="D104" i="8" s="1"/>
  <c r="H104" i="8" s="1"/>
  <c r="H6" i="8"/>
  <c r="H78" i="8"/>
  <c r="D84" i="8" s="1"/>
  <c r="H84" i="8" s="1"/>
  <c r="H83" i="8" s="1"/>
  <c r="D88" i="8" s="1"/>
  <c r="H12" i="4"/>
  <c r="H7" i="4" s="1"/>
  <c r="H118" i="8"/>
  <c r="D125" i="8" s="1"/>
  <c r="H125" i="8" s="1"/>
  <c r="I12" i="4"/>
  <c r="D38" i="8"/>
  <c r="H38" i="8" s="1"/>
  <c r="H37" i="8" s="1"/>
  <c r="D44" i="8" s="1"/>
  <c r="I38" i="4"/>
  <c r="I34" i="4"/>
  <c r="I33" i="4" s="1"/>
  <c r="D104" i="34" l="1"/>
  <c r="H104" i="34" s="1"/>
  <c r="H103" i="34" s="1"/>
  <c r="D107" i="34" s="1"/>
  <c r="H107" i="34" s="1"/>
  <c r="D38" i="34"/>
  <c r="H38" i="34" s="1"/>
  <c r="H37" i="34" s="1"/>
  <c r="D44" i="34" s="1"/>
  <c r="H44" i="34" s="1"/>
  <c r="D15" i="39"/>
  <c r="H15" i="39" s="1"/>
  <c r="D52" i="37"/>
  <c r="H52" i="37" s="1"/>
  <c r="H51" i="37" s="1"/>
  <c r="D56" i="37" s="1"/>
  <c r="H56" i="37" s="1"/>
  <c r="D92" i="39"/>
  <c r="H92" i="39" s="1"/>
  <c r="H91" i="39" s="1"/>
  <c r="D96" i="39" s="1"/>
  <c r="H96" i="39" s="1"/>
  <c r="D12" i="34"/>
  <c r="H12" i="34" s="1"/>
  <c r="H11" i="34" s="1"/>
  <c r="D52" i="39"/>
  <c r="H52" i="39" s="1"/>
  <c r="H51" i="39" s="1"/>
  <c r="D56" i="39" s="1"/>
  <c r="H56" i="39" s="1"/>
  <c r="D12" i="39"/>
  <c r="H12" i="39" s="1"/>
  <c r="H11" i="39" s="1"/>
  <c r="D16" i="39"/>
  <c r="H16" i="39" s="1"/>
  <c r="D21" i="34"/>
  <c r="H21" i="34" s="1"/>
  <c r="D22" i="34"/>
  <c r="H22" i="34" s="1"/>
  <c r="D72" i="37"/>
  <c r="H72" i="37" s="1"/>
  <c r="H71" i="37" s="1"/>
  <c r="D76" i="37" s="1"/>
  <c r="H76" i="37" s="1"/>
  <c r="D16" i="37"/>
  <c r="H16" i="37" s="1"/>
  <c r="E44" i="38"/>
  <c r="I44" i="38" s="1"/>
  <c r="D12" i="37"/>
  <c r="H12" i="37" s="1"/>
  <c r="H11" i="37" s="1"/>
  <c r="D32" i="37"/>
  <c r="H32" i="37" s="1"/>
  <c r="H31" i="37" s="1"/>
  <c r="D35" i="37" s="1"/>
  <c r="H35" i="37" s="1"/>
  <c r="E27" i="38"/>
  <c r="I27" i="38" s="1"/>
  <c r="I26" i="38" s="1"/>
  <c r="D15" i="37"/>
  <c r="H15" i="37" s="1"/>
  <c r="E45" i="38"/>
  <c r="I45" i="38" s="1"/>
  <c r="H7" i="38"/>
  <c r="D32" i="39"/>
  <c r="H32" i="39" s="1"/>
  <c r="H31" i="39" s="1"/>
  <c r="D35" i="39" s="1"/>
  <c r="H35" i="39" s="1"/>
  <c r="D125" i="34"/>
  <c r="H125" i="34" s="1"/>
  <c r="H124" i="34" s="1"/>
  <c r="D129" i="34" s="1"/>
  <c r="H129" i="34" s="1"/>
  <c r="E44" i="33"/>
  <c r="I44" i="33" s="1"/>
  <c r="D88" i="34"/>
  <c r="H88" i="34" s="1"/>
  <c r="H86" i="34" s="1"/>
  <c r="H89" i="34" s="1"/>
  <c r="D72" i="39"/>
  <c r="H72" i="39" s="1"/>
  <c r="H71" i="39" s="1"/>
  <c r="D76" i="39" s="1"/>
  <c r="H76" i="39" s="1"/>
  <c r="D113" i="37"/>
  <c r="H113" i="37" s="1"/>
  <c r="H112" i="37" s="1"/>
  <c r="D117" i="37" s="1"/>
  <c r="H117" i="37" s="1"/>
  <c r="D61" i="34"/>
  <c r="H61" i="34" s="1"/>
  <c r="H60" i="34" s="1"/>
  <c r="D67" i="34" s="1"/>
  <c r="H67" i="34" s="1"/>
  <c r="E44" i="36"/>
  <c r="I44" i="36" s="1"/>
  <c r="E45" i="36"/>
  <c r="I45" i="36" s="1"/>
  <c r="D92" i="37"/>
  <c r="H92" i="37" s="1"/>
  <c r="H91" i="37" s="1"/>
  <c r="E45" i="33"/>
  <c r="I45" i="33" s="1"/>
  <c r="E27" i="33"/>
  <c r="I27" i="33" s="1"/>
  <c r="I26" i="33" s="1"/>
  <c r="D95" i="39"/>
  <c r="H95" i="39" s="1"/>
  <c r="H94" i="39" s="1"/>
  <c r="H97" i="39" s="1"/>
  <c r="D117" i="39"/>
  <c r="H117" i="39" s="1"/>
  <c r="H116" i="39" s="1"/>
  <c r="D120" i="39" s="1"/>
  <c r="H120" i="39" s="1"/>
  <c r="D45" i="8"/>
  <c r="D22" i="8"/>
  <c r="D21" i="8"/>
  <c r="D12" i="8"/>
  <c r="H12" i="8" s="1"/>
  <c r="H11" i="8" s="1"/>
  <c r="D61" i="8"/>
  <c r="H61" i="8" s="1"/>
  <c r="H60" i="8" s="1"/>
  <c r="D68" i="8" s="1"/>
  <c r="H124" i="8"/>
  <c r="D129" i="8" s="1"/>
  <c r="H103" i="8"/>
  <c r="D108" i="8" s="1"/>
  <c r="I36" i="4"/>
  <c r="H14" i="39" l="1"/>
  <c r="H17" i="39" s="1"/>
  <c r="D108" i="34"/>
  <c r="H108" i="34" s="1"/>
  <c r="H106" i="34" s="1"/>
  <c r="H109" i="34" s="1"/>
  <c r="D55" i="37"/>
  <c r="H55" i="37" s="1"/>
  <c r="H54" i="37" s="1"/>
  <c r="H57" i="37" s="1"/>
  <c r="D45" i="34"/>
  <c r="H45" i="34" s="1"/>
  <c r="H43" i="34" s="1"/>
  <c r="H46" i="34" s="1"/>
  <c r="H20" i="34"/>
  <c r="H23" i="34" s="1"/>
  <c r="D55" i="39"/>
  <c r="H55" i="39" s="1"/>
  <c r="H54" i="39" s="1"/>
  <c r="H57" i="39" s="1"/>
  <c r="I43" i="38"/>
  <c r="I7" i="38" s="1"/>
  <c r="I47" i="38" s="1"/>
  <c r="I48" i="38" s="1"/>
  <c r="I64" i="38" s="1"/>
  <c r="I66" i="38" s="1"/>
  <c r="E79" i="39" s="1"/>
  <c r="H79" i="39" s="1"/>
  <c r="D75" i="37"/>
  <c r="H75" i="37" s="1"/>
  <c r="H74" i="37" s="1"/>
  <c r="H77" i="37" s="1"/>
  <c r="H14" i="37"/>
  <c r="H17" i="37" s="1"/>
  <c r="D36" i="37"/>
  <c r="H36" i="37" s="1"/>
  <c r="H34" i="37" s="1"/>
  <c r="H37" i="37" s="1"/>
  <c r="I43" i="33"/>
  <c r="I7" i="33" s="1"/>
  <c r="I47" i="33" s="1"/>
  <c r="I48" i="33" s="1"/>
  <c r="I64" i="33" s="1"/>
  <c r="I66" i="33" s="1"/>
  <c r="E25" i="34" s="1"/>
  <c r="H25" i="34" s="1"/>
  <c r="D116" i="37"/>
  <c r="H116" i="37" s="1"/>
  <c r="H115" i="37" s="1"/>
  <c r="H118" i="37" s="1"/>
  <c r="D36" i="39"/>
  <c r="H36" i="39" s="1"/>
  <c r="H34" i="39" s="1"/>
  <c r="H37" i="39" s="1"/>
  <c r="D128" i="34"/>
  <c r="H128" i="34" s="1"/>
  <c r="H127" i="34" s="1"/>
  <c r="H130" i="34" s="1"/>
  <c r="D68" i="34"/>
  <c r="H68" i="34" s="1"/>
  <c r="H66" i="34" s="1"/>
  <c r="H69" i="34" s="1"/>
  <c r="D75" i="39"/>
  <c r="H75" i="39" s="1"/>
  <c r="H74" i="39" s="1"/>
  <c r="H77" i="39" s="1"/>
  <c r="D96" i="37"/>
  <c r="H96" i="37" s="1"/>
  <c r="D95" i="37"/>
  <c r="H95" i="37" s="1"/>
  <c r="I43" i="36"/>
  <c r="I7" i="36" s="1"/>
  <c r="I47" i="36" s="1"/>
  <c r="I48" i="36" s="1"/>
  <c r="I64" i="36" s="1"/>
  <c r="I66" i="36" s="1"/>
  <c r="E79" i="37" s="1"/>
  <c r="H79" i="37" s="1"/>
  <c r="D121" i="39"/>
  <c r="H121" i="39" s="1"/>
  <c r="H119" i="39" s="1"/>
  <c r="H122" i="39" s="1"/>
  <c r="D67" i="8"/>
  <c r="H67" i="8" s="1"/>
  <c r="H68" i="8" s="1"/>
  <c r="H66" i="8" s="1"/>
  <c r="H69" i="8" s="1"/>
  <c r="D128" i="8"/>
  <c r="H128" i="8" s="1"/>
  <c r="D107" i="8"/>
  <c r="H107" i="8" s="1"/>
  <c r="H108" i="8" s="1"/>
  <c r="H106" i="8" s="1"/>
  <c r="H109" i="8" s="1"/>
  <c r="H21" i="8"/>
  <c r="H22" i="8" s="1"/>
  <c r="H20" i="8" s="1"/>
  <c r="H23" i="8" s="1"/>
  <c r="D87" i="8"/>
  <c r="H87" i="8" s="1"/>
  <c r="H65" i="37" l="1"/>
  <c r="E81" i="37" s="1"/>
  <c r="H81" i="37" s="1"/>
  <c r="H5" i="34"/>
  <c r="E27" i="34" s="1"/>
  <c r="H27" i="34" s="1"/>
  <c r="H65" i="39"/>
  <c r="E81" i="39" s="1"/>
  <c r="E134" i="39" s="1"/>
  <c r="H134" i="39" s="1"/>
  <c r="E19" i="39"/>
  <c r="H19" i="39" s="1"/>
  <c r="H5" i="39" s="1"/>
  <c r="E21" i="39" s="1"/>
  <c r="H21" i="39" s="1"/>
  <c r="E124" i="39"/>
  <c r="H124" i="39" s="1"/>
  <c r="H105" i="39" s="1"/>
  <c r="E126" i="39" s="1"/>
  <c r="E39" i="39"/>
  <c r="H39" i="39" s="1"/>
  <c r="H25" i="39" s="1"/>
  <c r="E41" i="39" s="1"/>
  <c r="H41" i="39" s="1"/>
  <c r="E99" i="39"/>
  <c r="H99" i="39" s="1"/>
  <c r="H85" i="39" s="1"/>
  <c r="E101" i="39" s="1"/>
  <c r="H101" i="39" s="1"/>
  <c r="E59" i="39"/>
  <c r="H59" i="39" s="1"/>
  <c r="H45" i="39" s="1"/>
  <c r="E61" i="39" s="1"/>
  <c r="E133" i="39" s="1"/>
  <c r="H133" i="39" s="1"/>
  <c r="E39" i="37"/>
  <c r="H39" i="37" s="1"/>
  <c r="H25" i="37" s="1"/>
  <c r="E41" i="37" s="1"/>
  <c r="H41" i="37" s="1"/>
  <c r="E59" i="37"/>
  <c r="H59" i="37" s="1"/>
  <c r="H45" i="37" s="1"/>
  <c r="E61" i="37" s="1"/>
  <c r="H61" i="37" s="1"/>
  <c r="E71" i="34"/>
  <c r="H71" i="34" s="1"/>
  <c r="H54" i="34" s="1"/>
  <c r="E73" i="34" s="1"/>
  <c r="H73" i="34" s="1"/>
  <c r="E48" i="34"/>
  <c r="H48" i="34" s="1"/>
  <c r="H31" i="34" s="1"/>
  <c r="E50" i="34" s="1"/>
  <c r="E140" i="34" s="1"/>
  <c r="H140" i="34" s="1"/>
  <c r="E111" i="34"/>
  <c r="H111" i="34" s="1"/>
  <c r="H97" i="34" s="1"/>
  <c r="E113" i="34" s="1"/>
  <c r="H113" i="34" s="1"/>
  <c r="E99" i="37"/>
  <c r="H99" i="37" s="1"/>
  <c r="E91" i="34"/>
  <c r="H91" i="34" s="1"/>
  <c r="H77" i="34" s="1"/>
  <c r="E93" i="34" s="1"/>
  <c r="E142" i="34" s="1"/>
  <c r="H142" i="34" s="1"/>
  <c r="E132" i="34"/>
  <c r="H132" i="34" s="1"/>
  <c r="H117" i="34" s="1"/>
  <c r="E134" i="34" s="1"/>
  <c r="H134" i="34" s="1"/>
  <c r="E19" i="37"/>
  <c r="H19" i="37" s="1"/>
  <c r="H5" i="37" s="1"/>
  <c r="E21" i="37" s="1"/>
  <c r="H21" i="37" s="1"/>
  <c r="E120" i="37"/>
  <c r="H120" i="37" s="1"/>
  <c r="H105" i="37" s="1"/>
  <c r="E122" i="37" s="1"/>
  <c r="H122" i="37" s="1"/>
  <c r="H94" i="37"/>
  <c r="H97" i="37" s="1"/>
  <c r="H129" i="8"/>
  <c r="H127" i="8" s="1"/>
  <c r="H130" i="8" s="1"/>
  <c r="H88" i="8"/>
  <c r="H86" i="8" s="1"/>
  <c r="H89" i="8" s="1"/>
  <c r="E130" i="37" l="1"/>
  <c r="H130" i="37" s="1"/>
  <c r="E131" i="39"/>
  <c r="H131" i="39" s="1"/>
  <c r="E132" i="39"/>
  <c r="H132" i="39" s="1"/>
  <c r="E139" i="34"/>
  <c r="H139" i="34" s="1"/>
  <c r="E135" i="39"/>
  <c r="H135" i="39" s="1"/>
  <c r="H81" i="39"/>
  <c r="E129" i="37"/>
  <c r="H129" i="37" s="1"/>
  <c r="H61" i="39"/>
  <c r="E132" i="37"/>
  <c r="H132" i="37" s="1"/>
  <c r="E143" i="34"/>
  <c r="H143" i="34" s="1"/>
  <c r="H50" i="34"/>
  <c r="E128" i="37"/>
  <c r="H128" i="37" s="1"/>
  <c r="H93" i="34"/>
  <c r="E141" i="34"/>
  <c r="H141" i="34" s="1"/>
  <c r="E144" i="34"/>
  <c r="H144" i="34" s="1"/>
  <c r="H85" i="37"/>
  <c r="E101" i="37" s="1"/>
  <c r="E131" i="37" s="1"/>
  <c r="H131" i="37" s="1"/>
  <c r="E127" i="37"/>
  <c r="H127" i="37" s="1"/>
  <c r="H126" i="39"/>
  <c r="E136" i="39"/>
  <c r="H136" i="39" s="1"/>
  <c r="I41" i="4"/>
  <c r="I40" i="4" s="1"/>
  <c r="H137" i="39" l="1"/>
  <c r="H9" i="3" s="1"/>
  <c r="H101" i="37"/>
  <c r="H145" i="34"/>
  <c r="H14" i="3" s="1"/>
  <c r="H133" i="37"/>
  <c r="H6" i="3" s="1"/>
  <c r="E44" i="4"/>
  <c r="I44" i="4" s="1"/>
  <c r="E45" i="4"/>
  <c r="E27" i="4"/>
  <c r="I27" i="4" s="1"/>
  <c r="I26" i="4" s="1"/>
  <c r="I45" i="4" l="1"/>
  <c r="I43" i="4" s="1"/>
  <c r="I7" i="4" s="1"/>
  <c r="I47" i="4" s="1"/>
  <c r="I48" i="4" s="1"/>
  <c r="I64" i="4" s="1"/>
  <c r="I66" i="4" s="1"/>
  <c r="E91" i="8" l="1"/>
  <c r="H91" i="8" s="1"/>
  <c r="H77" i="8" s="1"/>
  <c r="E93" i="8" s="1"/>
  <c r="E25" i="8"/>
  <c r="H25" i="8" s="1"/>
  <c r="H5" i="8" s="1"/>
  <c r="E27" i="8" s="1"/>
  <c r="E111" i="8"/>
  <c r="H111" i="8" s="1"/>
  <c r="H97" i="8" s="1"/>
  <c r="E113" i="8" s="1"/>
  <c r="E48" i="8"/>
  <c r="H48" i="8" s="1"/>
  <c r="E132" i="8"/>
  <c r="H132" i="8" s="1"/>
  <c r="H117" i="8" s="1"/>
  <c r="E134" i="8" s="1"/>
  <c r="E71" i="8"/>
  <c r="H71" i="8" s="1"/>
  <c r="H54" i="8" s="1"/>
  <c r="E73" i="8" s="1"/>
  <c r="H134" i="8" l="1"/>
  <c r="E144" i="8"/>
  <c r="H144" i="8" s="1"/>
  <c r="H73" i="8"/>
  <c r="E141" i="8"/>
  <c r="H141" i="8" s="1"/>
  <c r="E139" i="8"/>
  <c r="H139" i="8" s="1"/>
  <c r="H27" i="8"/>
  <c r="E143" i="8"/>
  <c r="H143" i="8" s="1"/>
  <c r="H113" i="8"/>
  <c r="E142" i="8"/>
  <c r="H142" i="8" s="1"/>
  <c r="H93" i="8"/>
  <c r="H44" i="8" l="1"/>
  <c r="H45" i="8" l="1"/>
  <c r="H43" i="8" s="1"/>
  <c r="H46" i="8" s="1"/>
  <c r="H31" i="8" l="1"/>
  <c r="E50" i="8" s="1"/>
  <c r="H50" i="8" l="1"/>
  <c r="E140" i="8"/>
  <c r="H140" i="8" s="1"/>
  <c r="H145" i="8" s="1"/>
  <c r="H12" i="3" s="1"/>
  <c r="H15" i="3" l="1"/>
</calcChain>
</file>

<file path=xl/sharedStrings.xml><?xml version="1.0" encoding="utf-8"?>
<sst xmlns="http://schemas.openxmlformats.org/spreadsheetml/2006/main" count="2424" uniqueCount="748">
  <si>
    <t>RESUMO - SUPERVISORAS</t>
  </si>
  <si>
    <t>LOTE</t>
  </si>
  <si>
    <t>UF</t>
  </si>
  <si>
    <t>ETAPA</t>
  </si>
  <si>
    <t>RODOVIAS</t>
  </si>
  <si>
    <t>TRECHO</t>
  </si>
  <si>
    <t>EXTENSÃO (KM)</t>
  </si>
  <si>
    <t>VALOR DO CONTRATO (R$)</t>
  </si>
  <si>
    <t>TOTAL</t>
  </si>
  <si>
    <t>Custos Gerenciais e Indiretos - LOTE 01</t>
  </si>
  <si>
    <t>RODOVIAS 
LOTE 01:</t>
  </si>
  <si>
    <t>EXTENSÃO:</t>
  </si>
  <si>
    <t>Código</t>
  </si>
  <si>
    <t>Item</t>
  </si>
  <si>
    <t>Descrição</t>
  </si>
  <si>
    <t>Unidade</t>
  </si>
  <si>
    <t>Quantidade</t>
  </si>
  <si>
    <t>R$ Unitário</t>
  </si>
  <si>
    <t>R$ Total</t>
  </si>
  <si>
    <t>Custos Gerenciais e Indiretos</t>
  </si>
  <si>
    <t>Equipe Técnica</t>
  </si>
  <si>
    <t>1.1</t>
  </si>
  <si>
    <t>Consultor</t>
  </si>
  <si>
    <t>CM</t>
  </si>
  <si>
    <t>1.1.1</t>
  </si>
  <si>
    <t>Pessoa Juridíca</t>
  </si>
  <si>
    <t>1.2</t>
  </si>
  <si>
    <t>Atividades de Nível Superior</t>
  </si>
  <si>
    <t>P0</t>
  </si>
  <si>
    <t>1.2.1</t>
  </si>
  <si>
    <t>funcionário</t>
  </si>
  <si>
    <t>P1</t>
  </si>
  <si>
    <t>1.2.2</t>
  </si>
  <si>
    <t>P2</t>
  </si>
  <si>
    <t>1.2.3</t>
  </si>
  <si>
    <t>P3</t>
  </si>
  <si>
    <t>1.2.4</t>
  </si>
  <si>
    <t>1.2.5</t>
  </si>
  <si>
    <t>1.3</t>
  </si>
  <si>
    <t>Nível Técnico</t>
  </si>
  <si>
    <t>1.3.1</t>
  </si>
  <si>
    <t>1.3.2</t>
  </si>
  <si>
    <t>T3</t>
  </si>
  <si>
    <t>1.4</t>
  </si>
  <si>
    <t>Nível Auxiliar</t>
  </si>
  <si>
    <t>A1</t>
  </si>
  <si>
    <t>1.4.1</t>
  </si>
  <si>
    <t>Secretária</t>
  </si>
  <si>
    <t>A2</t>
  </si>
  <si>
    <t>1.4.2</t>
  </si>
  <si>
    <t>1.4.3</t>
  </si>
  <si>
    <t>2.1</t>
  </si>
  <si>
    <t>percentual</t>
  </si>
  <si>
    <t>2.2</t>
  </si>
  <si>
    <t>3.1</t>
  </si>
  <si>
    <t>Utilização de Veículos</t>
  </si>
  <si>
    <t>4.1</t>
  </si>
  <si>
    <t>unidade</t>
  </si>
  <si>
    <t>6.1</t>
  </si>
  <si>
    <t>Imóveis e Mobiliário</t>
  </si>
  <si>
    <t>7.1</t>
  </si>
  <si>
    <t>mês</t>
  </si>
  <si>
    <t>7.2</t>
  </si>
  <si>
    <t>Despesas</t>
  </si>
  <si>
    <t>Diárias</t>
  </si>
  <si>
    <t>unid</t>
  </si>
  <si>
    <t>Remuneração e Tributos</t>
  </si>
  <si>
    <t>Remuneração da empresa</t>
  </si>
  <si>
    <t>Despesas fiscais/pis/iss/cofins</t>
  </si>
  <si>
    <t>TOTAL GERAL (MENSAL)</t>
  </si>
  <si>
    <t>TOTAL GERAL (ANUAL)</t>
  </si>
  <si>
    <t>Cálculo dos Custos Gerenciais e Indiretos  por HORA</t>
  </si>
  <si>
    <t>Qtde</t>
  </si>
  <si>
    <t>Horas</t>
  </si>
  <si>
    <t>Total Horas</t>
  </si>
  <si>
    <t>A</t>
  </si>
  <si>
    <t>Relatório de Apoio na Análise da Monitoração do Pavimento</t>
  </si>
  <si>
    <t>B</t>
  </si>
  <si>
    <t>Relatório de Apoio na Análise da Monitoração da Sinalização Horizontal</t>
  </si>
  <si>
    <t>C</t>
  </si>
  <si>
    <t>Relatório de Apoio na Análise da Monitoração da Sinalização Vertical</t>
  </si>
  <si>
    <t>D</t>
  </si>
  <si>
    <t>Relatório de Apoio na Análise da Monitoração das Obras de Arte Especial</t>
  </si>
  <si>
    <t>E</t>
  </si>
  <si>
    <t>Relatório de Apoio na Análise da Monitoração dos Terraplenos e Estruturas de Contenção</t>
  </si>
  <si>
    <t>F</t>
  </si>
  <si>
    <t>Relatório de Apoio no Acompanhamento da Conservação, Manutenção, Operação e Obras</t>
  </si>
  <si>
    <t>Total:</t>
  </si>
  <si>
    <t>Custo Gerencial Horário (Custo Adm. + Ind. / Quantidade Horas)</t>
  </si>
  <si>
    <t>Custos Gerenciais e Indiretos (anual)</t>
  </si>
  <si>
    <t>Reais</t>
  </si>
  <si>
    <t>Total de Horas Trabalhadas (ano)</t>
  </si>
  <si>
    <t>Custo Gerencial e Indiretos (por hora)</t>
  </si>
  <si>
    <t>R$ / H</t>
  </si>
  <si>
    <t>Composição dos Custos para Elaboração dos Relatórios:</t>
  </si>
  <si>
    <t>KM MÉDIO</t>
  </si>
  <si>
    <t>Premissas:</t>
  </si>
  <si>
    <t>$ Unitário</t>
  </si>
  <si>
    <t>$ Total</t>
  </si>
  <si>
    <t>1- jornada de 8h/dia</t>
  </si>
  <si>
    <t>Horas úteis (1 ano)</t>
  </si>
  <si>
    <t>Meses</t>
  </si>
  <si>
    <t>Horas úteis/mês</t>
  </si>
  <si>
    <t>dias úteis/mês</t>
  </si>
  <si>
    <t>horas de trabalho/dia</t>
  </si>
  <si>
    <t>2- 264 dias úteis no ano</t>
  </si>
  <si>
    <t>Mão de Obra</t>
  </si>
  <si>
    <t>hora</t>
  </si>
  <si>
    <t>I3</t>
  </si>
  <si>
    <t>Remuneração / Tributos / Gerenciamento</t>
  </si>
  <si>
    <t>X1</t>
  </si>
  <si>
    <t>Custo total dos Relatórios</t>
  </si>
  <si>
    <t>ATUAL</t>
  </si>
  <si>
    <t>R$ Unitario</t>
  </si>
  <si>
    <t>RODOVIAS 
LOTE 02:</t>
  </si>
  <si>
    <t>ITEM</t>
  </si>
  <si>
    <t>UNIDADE</t>
  </si>
  <si>
    <t>P4</t>
  </si>
  <si>
    <t>T4</t>
  </si>
  <si>
    <t>A0</t>
  </si>
  <si>
    <t>COMPOSIÇÃO DE PREÇOS</t>
  </si>
  <si>
    <t>Base</t>
  </si>
  <si>
    <t>Valores em Reais</t>
  </si>
  <si>
    <t>Mês Base</t>
  </si>
  <si>
    <t>DESCRIÇÃO</t>
  </si>
  <si>
    <t>QTE</t>
  </si>
  <si>
    <t>VALOR</t>
  </si>
  <si>
    <t>UNITÁRIO</t>
  </si>
  <si>
    <t>Pessoal</t>
  </si>
  <si>
    <t>Nível Superior</t>
  </si>
  <si>
    <t>Profissional Auxiliar (P4)</t>
  </si>
  <si>
    <t>2.4</t>
  </si>
  <si>
    <t>2.5</t>
  </si>
  <si>
    <t>2.6</t>
  </si>
  <si>
    <t>2.7</t>
  </si>
  <si>
    <t>Diárias de Nível Superior - Nacional</t>
  </si>
  <si>
    <t>2.8</t>
  </si>
  <si>
    <t>Diárias de Nível Técnico - Nacional</t>
  </si>
  <si>
    <t>2.9</t>
  </si>
  <si>
    <t>Passagens Aéreas - Nacional</t>
  </si>
  <si>
    <t>Anexo I Decreto No. 6.907 de 21/07/2009</t>
  </si>
  <si>
    <t>Classificação do Cargo/Emprego/Função</t>
  </si>
  <si>
    <t>Deslocamentos para Brasília/Manaus/ Rio de Janeiro</t>
  </si>
  <si>
    <t>Deslocamentos para Belo Horizonte/ Fortaleza/Porto Alegre/Recife/ Salvador/São Paulo</t>
  </si>
  <si>
    <t>Deslocamentos para outras capitais de Estados</t>
  </si>
  <si>
    <t>Demais deslocamentos</t>
  </si>
  <si>
    <t>Média R$</t>
  </si>
  <si>
    <t>C) DAS-6; CD-1; FDS-1 e FDJ-1 do BACEN</t>
  </si>
  <si>
    <t>D) DAS-5, DAS-4, DAS-3; CD-2, CD-3, CD-4; FDE-1, FDE-2; FDT-1; FCA-1, FCA-2, FCA-3; FCT1, FCT2; FCT3, GTS1; GTS2; GTS3.</t>
  </si>
  <si>
    <t>E) DAS-2, DAS-1; FCT4, FCT5, FCT6, FCT7; cargos de nível superior e FCINSS.</t>
  </si>
  <si>
    <t>Média NS</t>
  </si>
  <si>
    <t>F) FG-1, FG-2, FG-3; GR; FST-1, FST-2, FST-3 do BACEN; FDO-1, FCA-4, FCA-5 do BACEN; FCT8, FCT9, FCT10, FCT11, FCT12, FCT13, FCT14, FCT15; cargos de nível intermediário e auxiliar</t>
  </si>
  <si>
    <t>Média NI</t>
  </si>
  <si>
    <t>Média NI/ NS</t>
  </si>
  <si>
    <t>CONCESSIONÁRIAS</t>
  </si>
  <si>
    <t>DIÁRIAS POR LOTE</t>
  </si>
  <si>
    <t>LOTE 01</t>
  </si>
  <si>
    <t>LOTE 02</t>
  </si>
  <si>
    <r>
      <rPr>
        <b/>
        <sz val="6"/>
        <color rgb="FFFFFFFF"/>
        <rFont val="Arial"/>
        <family val="2"/>
      </rPr>
      <t>Código Engenharia Consultiva</t>
    </r>
  </si>
  <si>
    <r>
      <rPr>
        <b/>
        <sz val="6"/>
        <color rgb="FFFFFFFF"/>
        <rFont val="Arial"/>
        <family val="2"/>
      </rPr>
      <t>Categoria</t>
    </r>
  </si>
  <si>
    <r>
      <rPr>
        <b/>
        <sz val="6"/>
        <color rgb="FFFFFFFF"/>
        <rFont val="Arial"/>
        <family val="2"/>
      </rPr>
      <t>Unid.</t>
    </r>
  </si>
  <si>
    <r>
      <rPr>
        <b/>
        <sz val="6"/>
        <color rgb="FFFFFFFF"/>
        <rFont val="Arial"/>
        <family val="2"/>
      </rPr>
      <t>Salário</t>
    </r>
  </si>
  <si>
    <r>
      <rPr>
        <b/>
        <sz val="6"/>
        <color rgb="FFFFFFFF"/>
        <rFont val="Arial"/>
        <family val="2"/>
      </rPr>
      <t>Encargos Sociais %</t>
    </r>
  </si>
  <si>
    <r>
      <rPr>
        <b/>
        <sz val="6"/>
        <color rgb="FFFFFFFF"/>
        <rFont val="Arial"/>
        <family val="2"/>
      </rPr>
      <t>Encargos Sociais (R$)</t>
    </r>
  </si>
  <si>
    <r>
      <rPr>
        <b/>
        <sz val="6"/>
        <color rgb="FFFFFFFF"/>
        <rFont val="Arial"/>
        <family val="2"/>
      </rPr>
      <t>Encargos Complementares</t>
    </r>
  </si>
  <si>
    <r>
      <rPr>
        <b/>
        <sz val="6"/>
        <color rgb="FFFFFFFF"/>
        <rFont val="Arial"/>
        <family val="2"/>
      </rPr>
      <t>Encargos Adicionais</t>
    </r>
  </si>
  <si>
    <r>
      <rPr>
        <b/>
        <sz val="6"/>
        <color rgb="FFFFFFFF"/>
        <rFont val="Arial"/>
        <family val="2"/>
      </rPr>
      <t>Encargos Totais</t>
    </r>
  </si>
  <si>
    <r>
      <rPr>
        <b/>
        <sz val="6"/>
        <color rgb="FFFFFFFF"/>
        <rFont val="Arial"/>
        <family val="2"/>
      </rPr>
      <t>Valor Total</t>
    </r>
  </si>
  <si>
    <r>
      <rPr>
        <b/>
        <sz val="6"/>
        <color rgb="FFFFFFFF"/>
        <rFont val="Arial"/>
        <family val="2"/>
      </rPr>
      <t>Alimentação</t>
    </r>
  </si>
  <si>
    <r>
      <rPr>
        <b/>
        <sz val="6"/>
        <color rgb="FFFFFFFF"/>
        <rFont val="Arial"/>
        <family val="2"/>
      </rPr>
      <t>EPI</t>
    </r>
  </si>
  <si>
    <r>
      <rPr>
        <b/>
        <sz val="6"/>
        <color rgb="FFFFFFFF"/>
        <rFont val="Arial"/>
        <family val="2"/>
      </rPr>
      <t>Ferramenta</t>
    </r>
  </si>
  <si>
    <r>
      <rPr>
        <b/>
        <sz val="6"/>
        <color rgb="FFFFFFFF"/>
        <rFont val="Arial"/>
        <family val="2"/>
      </rPr>
      <t>Transporte</t>
    </r>
  </si>
  <si>
    <r>
      <rPr>
        <b/>
        <sz val="6"/>
        <color rgb="FFFFFFFF"/>
        <rFont val="Arial"/>
        <family val="2"/>
      </rPr>
      <t>Exam. Ocupacional</t>
    </r>
  </si>
  <si>
    <r>
      <rPr>
        <b/>
        <sz val="6"/>
        <color rgb="FFFFFFFF"/>
        <rFont val="Arial"/>
        <family val="2"/>
      </rPr>
      <t>Cesta Básica</t>
    </r>
  </si>
  <si>
    <r>
      <rPr>
        <b/>
        <sz val="6"/>
        <color rgb="FFFFFFFF"/>
        <rFont val="Arial"/>
        <family val="2"/>
      </rPr>
      <t>Assistência Médica</t>
    </r>
  </si>
  <si>
    <r>
      <rPr>
        <b/>
        <sz val="6"/>
        <color rgb="FFFFFFFF"/>
        <rFont val="Arial"/>
        <family val="2"/>
      </rPr>
      <t>Seguro de Vida</t>
    </r>
  </si>
  <si>
    <r>
      <rPr>
        <b/>
        <sz val="6"/>
        <color rgb="FFFFFFFF"/>
        <rFont val="Arial"/>
        <family val="2"/>
      </rPr>
      <t>%</t>
    </r>
  </si>
  <si>
    <r>
      <rPr>
        <b/>
        <sz val="6"/>
        <color rgb="FFFFFFFF"/>
        <rFont val="Arial"/>
        <family val="2"/>
      </rPr>
      <t>R$</t>
    </r>
  </si>
  <si>
    <r>
      <rPr>
        <sz val="6"/>
        <rFont val="Arial"/>
        <family val="2"/>
      </rPr>
      <t>Fonte: FGV IBRE</t>
    </r>
  </si>
  <si>
    <r>
      <rPr>
        <b/>
        <sz val="12"/>
        <rFont val="Arial"/>
        <family val="2"/>
      </rPr>
      <t>RELATÓRIO DE CUSTOS GERAIS E BENEFÍCIOS E DESPESAS INDIRETAS - BDI</t>
    </r>
  </si>
  <si>
    <r>
      <rPr>
        <b/>
        <sz val="9"/>
        <color rgb="FFFFFFFF"/>
        <rFont val="Arial"/>
        <family val="2"/>
      </rPr>
      <t>Item</t>
    </r>
  </si>
  <si>
    <r>
      <rPr>
        <b/>
        <sz val="9"/>
        <color rgb="FFFFFFFF"/>
        <rFont val="Arial"/>
        <family val="2"/>
      </rPr>
      <t>Código Engenharia Consultiva</t>
    </r>
  </si>
  <si>
    <r>
      <rPr>
        <b/>
        <sz val="9"/>
        <color rgb="FFFFFFFF"/>
        <rFont val="Arial"/>
        <family val="2"/>
      </rPr>
      <t>Tipo</t>
    </r>
  </si>
  <si>
    <r>
      <rPr>
        <b/>
        <sz val="9"/>
        <color rgb="FFFFFFFF"/>
        <rFont val="Arial"/>
        <family val="2"/>
      </rPr>
      <t>Unidade</t>
    </r>
  </si>
  <si>
    <r>
      <rPr>
        <b/>
        <sz val="9"/>
        <color rgb="FFFFFFFF"/>
        <rFont val="Arial"/>
        <family val="2"/>
      </rPr>
      <t>Custo unitário (R$ / un)</t>
    </r>
  </si>
  <si>
    <r>
      <rPr>
        <b/>
        <sz val="9"/>
        <color rgb="FFFFFFFF"/>
        <rFont val="Arial"/>
        <family val="2"/>
      </rPr>
      <t>Produtivo</t>
    </r>
  </si>
  <si>
    <r>
      <rPr>
        <sz val="9"/>
        <rFont val="Arial"/>
        <family val="2"/>
      </rPr>
      <t>Veículos</t>
    </r>
  </si>
  <si>
    <r>
      <rPr>
        <sz val="9"/>
        <rFont val="Arial"/>
        <family val="2"/>
      </rPr>
      <t>E8887</t>
    </r>
  </si>
  <si>
    <r>
      <rPr>
        <sz val="9"/>
        <rFont val="Arial"/>
        <family val="2"/>
      </rPr>
      <t>Imóveis</t>
    </r>
  </si>
  <si>
    <r>
      <rPr>
        <sz val="9"/>
        <rFont val="Arial"/>
        <family val="2"/>
      </rPr>
      <t>m² x mês</t>
    </r>
  </si>
  <si>
    <r>
      <rPr>
        <sz val="9"/>
        <rFont val="Arial"/>
        <family val="2"/>
      </rPr>
      <t>B8952</t>
    </r>
  </si>
  <si>
    <r>
      <rPr>
        <sz val="9"/>
        <rFont val="Arial"/>
        <family val="2"/>
      </rPr>
      <t>Mobiliário</t>
    </r>
  </si>
  <si>
    <r>
      <rPr>
        <sz val="9"/>
        <rFont val="Arial"/>
        <family val="2"/>
      </rPr>
      <t>ocupante x mês</t>
    </r>
  </si>
  <si>
    <r>
      <rPr>
        <sz val="9"/>
        <rFont val="Arial"/>
        <family val="2"/>
      </rPr>
      <t>B8954</t>
    </r>
  </si>
  <si>
    <r>
      <rPr>
        <sz val="9"/>
        <rFont val="Arial"/>
        <family val="2"/>
      </rPr>
      <t>Residência</t>
    </r>
  </si>
  <si>
    <r>
      <rPr>
        <sz val="9"/>
        <rFont val="Arial"/>
        <family val="2"/>
      </rPr>
      <t>Cesta das Instalações</t>
    </r>
  </si>
  <si>
    <r>
      <rPr>
        <sz val="9"/>
        <rFont val="Arial"/>
        <family val="2"/>
      </rPr>
      <t>B8955</t>
    </r>
  </si>
  <si>
    <r>
      <rPr>
        <sz val="9"/>
        <rFont val="Arial"/>
        <family val="2"/>
      </rPr>
      <t>Laboratório de asfalto</t>
    </r>
  </si>
  <si>
    <r>
      <rPr>
        <sz val="9"/>
        <rFont val="Arial"/>
        <family val="2"/>
      </rPr>
      <t>mês</t>
    </r>
  </si>
  <si>
    <r>
      <rPr>
        <sz val="9"/>
        <rFont val="Arial"/>
        <family val="2"/>
      </rPr>
      <t>B8956</t>
    </r>
  </si>
  <si>
    <r>
      <rPr>
        <sz val="9"/>
        <rFont val="Arial"/>
        <family val="2"/>
      </rPr>
      <t>Laboratório de concreto</t>
    </r>
  </si>
  <si>
    <r>
      <rPr>
        <sz val="9"/>
        <rFont val="Arial"/>
        <family val="2"/>
      </rPr>
      <t>B8957</t>
    </r>
  </si>
  <si>
    <r>
      <rPr>
        <sz val="9"/>
        <rFont val="Arial"/>
        <family val="2"/>
      </rPr>
      <t>Laboratório de solos</t>
    </r>
  </si>
  <si>
    <r>
      <rPr>
        <sz val="9"/>
        <rFont val="Arial"/>
        <family val="2"/>
      </rPr>
      <t>B8958</t>
    </r>
  </si>
  <si>
    <r>
      <rPr>
        <sz val="9"/>
        <rFont val="Arial"/>
        <family val="2"/>
      </rPr>
      <t>Topografia</t>
    </r>
  </si>
  <si>
    <r>
      <rPr>
        <sz val="9"/>
        <rFont val="Arial"/>
        <family val="2"/>
      </rPr>
      <t>Custos Diversos</t>
    </r>
  </si>
  <si>
    <r>
      <rPr>
        <sz val="9"/>
        <rFont val="Arial"/>
        <family val="2"/>
      </rPr>
      <t>B8960</t>
    </r>
  </si>
  <si>
    <r>
      <rPr>
        <b/>
        <sz val="9"/>
        <color rgb="FFFFFFFF"/>
        <rFont val="Arial"/>
        <family val="2"/>
      </rPr>
      <t>Benefícios e Despesas Indiretas - BDI</t>
    </r>
  </si>
  <si>
    <r>
      <rPr>
        <b/>
        <sz val="9"/>
        <rFont val="Arial"/>
        <family val="2"/>
      </rPr>
      <t>Despesas Indiretas</t>
    </r>
  </si>
  <si>
    <r>
      <rPr>
        <b/>
        <sz val="9"/>
        <rFont val="Arial"/>
        <family val="2"/>
      </rPr>
      <t>% sobre PV</t>
    </r>
  </si>
  <si>
    <r>
      <rPr>
        <b/>
        <sz val="9"/>
        <rFont val="Arial"/>
        <family val="2"/>
      </rPr>
      <t>% sobre CD</t>
    </r>
  </si>
  <si>
    <r>
      <rPr>
        <sz val="9"/>
        <rFont val="Arial"/>
        <family val="2"/>
      </rPr>
      <t>Administração Central</t>
    </r>
  </si>
  <si>
    <r>
      <rPr>
        <sz val="9"/>
        <rFont val="Arial"/>
        <family val="2"/>
      </rPr>
      <t>Variável - f (CD)</t>
    </r>
  </si>
  <si>
    <r>
      <rPr>
        <sz val="9"/>
        <rFont val="Arial"/>
        <family val="2"/>
      </rPr>
      <t>Despesas Financeiras</t>
    </r>
  </si>
  <si>
    <r>
      <rPr>
        <sz val="9"/>
        <rFont val="Arial"/>
        <family val="2"/>
      </rPr>
      <t>Riscos</t>
    </r>
  </si>
  <si>
    <r>
      <rPr>
        <sz val="9"/>
        <rFont val="Arial"/>
        <family val="2"/>
      </rPr>
      <t>0,50% do PV</t>
    </r>
  </si>
  <si>
    <r>
      <rPr>
        <sz val="9"/>
        <rFont val="Arial"/>
        <family val="2"/>
      </rPr>
      <t>Garantias Contratuais</t>
    </r>
  </si>
  <si>
    <r>
      <rPr>
        <sz val="9"/>
        <rFont val="Arial"/>
        <family val="2"/>
      </rPr>
      <t>0,10% do PV</t>
    </r>
  </si>
  <si>
    <r>
      <rPr>
        <b/>
        <sz val="9"/>
        <rFont val="Arial"/>
        <family val="2"/>
      </rPr>
      <t>Subtotal 1</t>
    </r>
  </si>
  <si>
    <r>
      <rPr>
        <b/>
        <sz val="9"/>
        <rFont val="Arial"/>
        <family val="2"/>
      </rPr>
      <t>Benefícios</t>
    </r>
  </si>
  <si>
    <r>
      <rPr>
        <sz val="9"/>
        <rFont val="Arial"/>
        <family val="2"/>
      </rPr>
      <t>Lucro Operacional</t>
    </r>
  </si>
  <si>
    <r>
      <rPr>
        <b/>
        <sz val="9"/>
        <rFont val="Arial"/>
        <family val="2"/>
      </rPr>
      <t>Subtotal 2</t>
    </r>
  </si>
  <si>
    <r>
      <rPr>
        <b/>
        <sz val="9"/>
        <rFont val="Arial"/>
        <family val="2"/>
      </rPr>
      <t>Tributos</t>
    </r>
  </si>
  <si>
    <r>
      <rPr>
        <sz val="9"/>
        <rFont val="Arial"/>
        <family val="2"/>
      </rPr>
      <t>PIS</t>
    </r>
  </si>
  <si>
    <r>
      <rPr>
        <sz val="9"/>
        <rFont val="Arial"/>
        <family val="2"/>
      </rPr>
      <t>1,65% do PV</t>
    </r>
  </si>
  <si>
    <r>
      <rPr>
        <sz val="9"/>
        <rFont val="Arial"/>
        <family val="2"/>
      </rPr>
      <t>COFINS</t>
    </r>
  </si>
  <si>
    <r>
      <rPr>
        <sz val="9"/>
        <rFont val="Arial"/>
        <family val="2"/>
      </rPr>
      <t>7,60% do PV</t>
    </r>
  </si>
  <si>
    <r>
      <rPr>
        <sz val="9"/>
        <rFont val="Arial"/>
        <family val="2"/>
      </rPr>
      <t>ISSQN*</t>
    </r>
  </si>
  <si>
    <r>
      <rPr>
        <sz val="9"/>
        <rFont val="Arial"/>
        <family val="2"/>
      </rPr>
      <t>5,00% do PV</t>
    </r>
  </si>
  <si>
    <r>
      <rPr>
        <b/>
        <sz val="9"/>
        <rFont val="Arial"/>
        <family val="2"/>
      </rPr>
      <t>Subtotal 3</t>
    </r>
  </si>
  <si>
    <r>
      <rPr>
        <b/>
        <sz val="9"/>
        <color rgb="FFFFFFFF"/>
        <rFont val="Arial"/>
        <family val="2"/>
      </rPr>
      <t>Total - BDI (%)</t>
    </r>
  </si>
  <si>
    <r>
      <rPr>
        <sz val="9"/>
        <rFont val="Arial"/>
        <family val="2"/>
      </rPr>
      <t>(*) Limite máximo adotado de 5%; valor variável em função da legislação de cada município. As empresas licitantes deverão adotar as alíquotas pertinentes.</t>
    </r>
  </si>
  <si>
    <t>Engenheiro de projetos júnior</t>
  </si>
  <si>
    <t>Engenheiro de projetos pleno</t>
  </si>
  <si>
    <t>Engenheiro de projetos sênior</t>
  </si>
  <si>
    <t>Engenheiro consultor especial</t>
  </si>
  <si>
    <t>Engenheiro coordenador</t>
  </si>
  <si>
    <t>Auxiliar administrativo</t>
  </si>
  <si>
    <t>Técnico de obras</t>
  </si>
  <si>
    <t>Chefe de escritório</t>
  </si>
  <si>
    <t>Motorista de veículo leve</t>
  </si>
  <si>
    <t>Veículo leve - tipo hatch - (sem motorista)</t>
  </si>
  <si>
    <t>Veículo leve - tipo pick up 4 x 4 - (sem motorista)</t>
  </si>
  <si>
    <t>E8889</t>
  </si>
  <si>
    <t>E8891</t>
  </si>
  <si>
    <t>Imóvel Comercial (2,32% do C.M.C.C - SINAPI)</t>
  </si>
  <si>
    <t>B8951</t>
  </si>
  <si>
    <t>Escritório</t>
  </si>
  <si>
    <t>B8953</t>
  </si>
  <si>
    <t>Mobiliário Escritório</t>
  </si>
  <si>
    <t>B8959</t>
  </si>
  <si>
    <t>Custos Diversos Escritório</t>
  </si>
  <si>
    <t>Custos Diversos</t>
  </si>
  <si>
    <t>ocupante x mês</t>
  </si>
  <si>
    <t>Total Encargos</t>
  </si>
  <si>
    <t>% Encargos</t>
  </si>
  <si>
    <t>% ENCARGOS</t>
  </si>
  <si>
    <t>Encargos Totais</t>
  </si>
  <si>
    <t>Horas trabalháveis:</t>
  </si>
  <si>
    <t>Custo administrativo (sobre pessoal):</t>
  </si>
  <si>
    <t>Remuneração da empresa:</t>
  </si>
  <si>
    <t>Despesas fiscais/pis/iss/cofins:</t>
  </si>
  <si>
    <t>3.2</t>
  </si>
  <si>
    <t>5.1</t>
  </si>
  <si>
    <t>5.2</t>
  </si>
  <si>
    <t>RELATÓRIO DE CONSOLIDAÇÃO DOS CUSTOS DE MÃO DE OBRA</t>
  </si>
  <si>
    <t>4ª Etapa</t>
  </si>
  <si>
    <t>GO/TO</t>
  </si>
  <si>
    <t>BR-080/153/414/GO/TO (ECO 153)</t>
  </si>
  <si>
    <t xml:space="preserve">Anápolis/GO – Aliança do Tocantins/TO </t>
  </si>
  <si>
    <t>MT/PA</t>
  </si>
  <si>
    <t>BR-163/230/MT/PA</t>
  </si>
  <si>
    <t>Sinop/MT – Itaituba/PA</t>
  </si>
  <si>
    <t>Levantamento deflectométrico (FWD) - 40%</t>
  </si>
  <si>
    <t>Levantamento do IRI - 100%</t>
  </si>
  <si>
    <t>Serviços de Terceiros</t>
  </si>
  <si>
    <t>S1</t>
  </si>
  <si>
    <t>S2</t>
  </si>
  <si>
    <t>km x faixa</t>
  </si>
  <si>
    <t>und.</t>
  </si>
  <si>
    <t>S3</t>
  </si>
  <si>
    <t>S4</t>
  </si>
  <si>
    <t>DIMENSIONAMENTO DAS QUANTIDADES</t>
  </si>
  <si>
    <t>Faixas de Rolamento</t>
  </si>
  <si>
    <t>MANCHA AREIA</t>
  </si>
  <si>
    <t>FWD</t>
  </si>
  <si>
    <t>IRI</t>
  </si>
  <si>
    <t>LVC</t>
  </si>
  <si>
    <t>Serviço de Monitoração e Retrorrefletividade - 45%</t>
  </si>
  <si>
    <t>km</t>
  </si>
  <si>
    <t>P8001</t>
  </si>
  <si>
    <t>P8002</t>
  </si>
  <si>
    <t>P8003</t>
  </si>
  <si>
    <t>P8007</t>
  </si>
  <si>
    <t>Veículo leve - 53 kW (sem motorista)</t>
  </si>
  <si>
    <t>Veículo leve Pick Up 4x4 - 147 kW (sem motorista)</t>
  </si>
  <si>
    <t>Van furgão - 93 kW (com motorista)</t>
  </si>
  <si>
    <t>ANEXO V - MAPA COMPARATIVO DE PREÇOS</t>
  </si>
  <si>
    <t xml:space="preserve">             </t>
  </si>
  <si>
    <t>1. IDENTIFICAÇÃO DAS EMPRESAS/PROFISSIONAIS</t>
  </si>
  <si>
    <t>N.º de ordem</t>
  </si>
  <si>
    <t>Nome/Razão Social</t>
  </si>
  <si>
    <t>CNPJ</t>
  </si>
  <si>
    <t>PAVESYS ENGENHARIA S/S LTDA</t>
  </si>
  <si>
    <t>04.449.094/0001-31</t>
  </si>
  <si>
    <t>SOLOCAP GEOTECNOLOGIA RODOVIARIA LTDA</t>
  </si>
  <si>
    <t>25.349.382/0001-94</t>
  </si>
  <si>
    <t>STE SERVICOS TECNICOS DE ENGENHARIA S.A.</t>
  </si>
  <si>
    <t>88.849.773/0001-98</t>
  </si>
  <si>
    <t>STRATA ENGENHARIA LTDA</t>
  </si>
  <si>
    <t>38.743.357/0001-32</t>
  </si>
  <si>
    <t>2. COTAÇÃO DE PREÇOS POR EMPRESA</t>
  </si>
  <si>
    <t>Item
Número</t>
  </si>
  <si>
    <t>Especificação do Objeto</t>
  </si>
  <si>
    <t xml:space="preserve"> Unidade de Fornecimento ou de Cotação do Preço</t>
  </si>
  <si>
    <t>Valor Médio
ou Menor
Valor</t>
  </si>
  <si>
    <t>Valor Total
(Menor Preço)</t>
  </si>
  <si>
    <t>Empresa 1</t>
  </si>
  <si>
    <t>Empresa 2</t>
  </si>
  <si>
    <t>Empresa 3</t>
  </si>
  <si>
    <t>Empresa 4</t>
  </si>
  <si>
    <t>Levantamento Deflectométrico (Falling Weight Deflectometer - FWD)</t>
  </si>
  <si>
    <t>Levantamento do Índice de Irregularidade Longitudinal (International Roughness Index - IRI)</t>
  </si>
  <si>
    <t>Levantamento Visual Contínuo (LVC)</t>
  </si>
  <si>
    <t>Ensaio de Mancha de Areia (Macrotextura)</t>
  </si>
  <si>
    <t>Avaliação da Retrorrefletividade - Sinalização Vertical e Horizontal</t>
  </si>
  <si>
    <t>Valor total estimado (R$)</t>
  </si>
  <si>
    <t>Assinatura e carimbo                                                                                                                             (Servidor responsável pela pesquisa)</t>
  </si>
  <si>
    <t>De acordo.</t>
  </si>
  <si>
    <t>Assinatura e carimbo                       (Responsável pela Área demandante)</t>
  </si>
  <si>
    <r>
      <t xml:space="preserve">       MAPA COMPARATIVO DE PREÇOS                                                                                                                                          </t>
    </r>
    <r>
      <rPr>
        <b/>
        <sz val="12"/>
        <color rgb="FF000000"/>
        <rFont val="Ecofont Vera Sans"/>
        <family val="2"/>
      </rPr>
      <t>PROCESSO N.º 50500.061780/2021-34</t>
    </r>
  </si>
  <si>
    <t>Avaliação das condições de superfície - 40%</t>
  </si>
  <si>
    <t>Ensaio de mancha de areia (Macrotextura)</t>
  </si>
  <si>
    <t>Remuneração / Tributos</t>
  </si>
  <si>
    <t>Despesas indiretas</t>
  </si>
  <si>
    <t>I1</t>
  </si>
  <si>
    <t>I2</t>
  </si>
  <si>
    <t>Serviço de Monitoração e Retrorrefletividade - 30%</t>
  </si>
  <si>
    <t xml:space="preserve">ANEXO VIII - LISTA DE FORNECEDORES </t>
  </si>
  <si>
    <t>[Gerência - Superintendência]</t>
  </si>
  <si>
    <t>[Telefone e e-mail]</t>
  </si>
  <si>
    <t>Razão Social</t>
  </si>
  <si>
    <t>Email</t>
  </si>
  <si>
    <t>Endereço</t>
  </si>
  <si>
    <t>Telefone</t>
  </si>
  <si>
    <t>Correspondência de consulta</t>
  </si>
  <si>
    <t>vendas@solocap.com.br
geotecnia01@solocap.com.br
geotecnia02@solocap.com.br
e.cardoso@solocap.com.br</t>
  </si>
  <si>
    <t>Av. dos Açudes, 99 – Alto dos Pinheiros, Belo Horizonte – Minas Gerais – CEP: 30.530-720</t>
  </si>
  <si>
    <t>(31) 3047-7460</t>
  </si>
  <si>
    <t>DYNATEST ENGENHARIA LTDA</t>
  </si>
  <si>
    <t xml:space="preserve"> 32.116.154/0001-30</t>
  </si>
  <si>
    <t>contato@dynatest.com.br / rogerio.freitas@dynatest.com.br</t>
  </si>
  <si>
    <t>Rua Peixoto Gomide, nº 996, Cj. 810 - SÃO PAULO/SP-CEP 01409-900</t>
  </si>
  <si>
    <t>(11) 3149 3969</t>
  </si>
  <si>
    <t>pavesys@pavesys.com.br</t>
  </si>
  <si>
    <t>RS - AV. LOUREIRO DA SILVA, 2001/820 - CIDADE BAIXA -PORTO ALEGRE/RS, 90050-240</t>
  </si>
  <si>
    <t>(51) 3212-7940</t>
  </si>
  <si>
    <t>luiz.quaresma@strata.com.br
bernar.campos@strata.com.br
comercial.strata@strata.com.br
renan.costa@strata.com.br</t>
  </si>
  <si>
    <t>Rua Castelo de Sintra, 24 – Castelo
Belo Horizonte – MG
CEP 31330-200</t>
  </si>
  <si>
    <t>(31) 2129-1400</t>
  </si>
  <si>
    <t>SR ENGENHARIA EIRELI</t>
  </si>
  <si>
    <t>33.543.232/0001-45</t>
  </si>
  <si>
    <t>atendimento@srengenharia.net / gustavolira@srengenharia.net</t>
  </si>
  <si>
    <t>Rua Maria de Almeida Magalhães, 15 – Sousas, Campinas – SP, 13106-016</t>
  </si>
  <si>
    <t>(19) 3044-1044</t>
  </si>
  <si>
    <t>ROADRUNNER ENGENHARIA LTDA</t>
  </si>
  <si>
    <t>04.120.489/0001-96</t>
  </si>
  <si>
    <t>contato@rrunner.com.br</t>
  </si>
  <si>
    <t>Rodovia Geraldo Scavone, 2080 - Galpão 37-Jd Califórnia - Jacareí - São Paulo - 12305-490</t>
  </si>
  <si>
    <t>(11) 3090-5605</t>
  </si>
  <si>
    <t>COPAVEL CONSULTORIA DE ENGENHARIA LTDA</t>
  </si>
  <si>
    <t>16.630.592/0001-65</t>
  </si>
  <si>
    <t>engenharia@copavel.com.br / copavel@copavel.com.br</t>
  </si>
  <si>
    <t>Rua Catulo da Paixão Cearense, 249 - Vila Saúde, São Paulo - SP - 04145-010</t>
  </si>
  <si>
    <t>(11) 5587-1388</t>
  </si>
  <si>
    <t>AFIRMA - ENGENHARIA E PROJETOS LTDA</t>
  </si>
  <si>
    <t>05.205.684/0001-81</t>
  </si>
  <si>
    <t>comercial@afirma.eng.br</t>
  </si>
  <si>
    <t>Rua Moçambique, nº 273, Centro, Pinhais - PR - CEP 83320-190</t>
  </si>
  <si>
    <t xml:space="preserve">(41) 3244-6396 / </t>
  </si>
  <si>
    <t>PLANSERVI ENGENHARIA LTDA</t>
  </si>
  <si>
    <t>65.525.404/0001-44</t>
  </si>
  <si>
    <t>comercial@planservi.com.br / ana_paula@planservi.com.br</t>
  </si>
  <si>
    <t>Avenida Brigadeiro Faria Lima, 1461 - 18º andar - conjunto 181 - Torre Sul - São Paulo - SP - CEP 01452-002</t>
  </si>
  <si>
    <t xml:space="preserve">(11) 3304-1481 / </t>
  </si>
  <si>
    <t>ENGESPA CONSULTORIA E ENGENHARIA EIRELI</t>
  </si>
  <si>
    <t>14.981.816/0001-58</t>
  </si>
  <si>
    <t>contato@engespa.com.br</t>
  </si>
  <si>
    <t>Rua dos Inconfidentes, 867,Andar Segundo,FUNCIONARIOS
BELO HORIZONTE - MG 30140-120</t>
  </si>
  <si>
    <t>(31) 2532-2458</t>
  </si>
  <si>
    <t>PROSUL PROJETOS SUPERVISÃO E PLANEJAMENTO LTDA</t>
  </si>
  <si>
    <t xml:space="preserve"> 80.996-861/0001-00</t>
  </si>
  <si>
    <t>prosul@prosul.com/do@prosul.com</t>
  </si>
  <si>
    <t>Rua Saldanha Marinho, 116 - Edifício Liberal Center, 3º andar - Centro - 88010-450 - Florianópolis - SC</t>
  </si>
  <si>
    <t xml:space="preserve"> (48) 3027-2730 / FAX (48)3027-27-31</t>
  </si>
  <si>
    <t>ENECON S.A. ENGENHEIROS E ECONOMISTAS CONSULTORES</t>
  </si>
  <si>
    <t>33.830.043/0001-53</t>
  </si>
  <si>
    <t>enecon.poa@enecon.com.br</t>
  </si>
  <si>
    <t>Avenida Ipiranga, 6929, PARTENON
PORTO ALEGRE/RS - CEP 90610-001</t>
  </si>
  <si>
    <t>(51)3336-5823/FAX: (51)3339-6535</t>
  </si>
  <si>
    <t>INCORP-CONSULTORIA E ASSESSORIA LTDA</t>
  </si>
  <si>
    <t>91.807.974/0001-37</t>
  </si>
  <si>
    <t>incorp@incorpconsultoria.com.br</t>
  </si>
  <si>
    <t>Avenida Plinio Brasil Milano, 1305, HIGIENOPOLIS
PORTO ALEGRE/RS - CEP 90520-002</t>
  </si>
  <si>
    <t>(51) 3328 2366</t>
  </si>
  <si>
    <t>MAGNA ENGENHARIA LTDA</t>
  </si>
  <si>
    <t>33.980.905/0001-24</t>
  </si>
  <si>
    <t>contato@magnaeng.com.br / informatica@magnaeng.com.br</t>
  </si>
  <si>
    <t>Rua Dom Pedro II, 331 - São João - Porto Alegre/RS - CEP 90550-142</t>
  </si>
  <si>
    <t>(51) 2104-0000</t>
  </si>
  <si>
    <t>ste@stesa.com.br</t>
  </si>
  <si>
    <t>Rua Saldanha da Gama, 225, HARMONIA
CANOAS/RS - CEP 92310-630</t>
  </si>
  <si>
    <t>(51) 3415-4019</t>
  </si>
  <si>
    <t>ATP ENGENHARIA LTDA</t>
  </si>
  <si>
    <t>35.467.604/0001-27</t>
  </si>
  <si>
    <t>geral@future.atp.eng.br</t>
  </si>
  <si>
    <t>Alameda Santos, 745, Conj. 111/112
Cerqueira César – Cep: 01419-001
São Paulo - Brasil</t>
  </si>
  <si>
    <t>(11) 3266 2769</t>
  </si>
  <si>
    <t>TRAFECON ENGENHARIA LTDA</t>
  </si>
  <si>
    <t>42.267.203/0001-99</t>
  </si>
  <si>
    <t>trafecon@trafecon.com.br</t>
  </si>
  <si>
    <t>Setor Shn Quadra 1, S/N, Bloco A Conjunto A Sala 1414 Parte Qe Edif Le Quartier Bureau, ASA NORTE
BRASILIA - DF
70701-000</t>
  </si>
  <si>
    <t>(61) 3255-1279</t>
  </si>
  <si>
    <t>Nome/assinatura</t>
  </si>
  <si>
    <t>ANTT - OFÍCIO 18595/2021/GEENG/SUROD/DIR-ANTT (SEI nº 7215115)</t>
  </si>
  <si>
    <t>ANTT - OFÍCIO 18597/2021/GEENG/SUROD/DIR-ANTT (SEI nº 7215187)</t>
  </si>
  <si>
    <t>ANTT - OFÍCIO 18608/2021/GEENG/SUROD/DIR-ANTT (SEI nº 7216526)</t>
  </si>
  <si>
    <t>ANTT - OFÍCIO 18609/2021/GEENG/SUROD/DIR-ANTT (SEI nº 7216531)</t>
  </si>
  <si>
    <t>ANTT - OFÍCIO 18610/2021/GEENG/SUROD/DIR-ANTT (SEI nº 7216547)</t>
  </si>
  <si>
    <t>ANTT - OFÍCIO 18611/2021/GEENG/SUROD/DIR-ANTT (SEI nº 7216571)</t>
  </si>
  <si>
    <t>ANTT - OFÍCIO 18613/2021/GEENG/SUROD/DIR-ANTT (SEI nº 7216593)</t>
  </si>
  <si>
    <t>ANTT - OFÍCIO 18614/2021/GEENG/SUROD/DIR-ANTT (SEI nº 7216619)</t>
  </si>
  <si>
    <t>ANTT - OFÍCIO 18615/2021/GEENG/SUROD/DIR-ANTT (SEI nº 7216638)</t>
  </si>
  <si>
    <t>ANTT - OFÍCIO 18617/2021/GEENG/SUROD/DIR-ANTT (SEI nº 7216652)</t>
  </si>
  <si>
    <t>ANTT - OFÍCIO 18160/2021/GEENG/SUROD/DIR-ANTT (SEI nº 7163296)</t>
  </si>
  <si>
    <t>ANTT - OFÍCIO 18618/2021/GEENG/SUROD/DIR-ANTT (SEI nº 7216684)</t>
  </si>
  <si>
    <t>ANTT - OFÍCIO 18619/2021/GEENG/SUROD/DIR-ANTT (SEI nº 7216698)</t>
  </si>
  <si>
    <t>ANTT - OFÍCIO 18620/2021/GEENG/SUROD/DIR-ANTT (SEI nº 7216712)</t>
  </si>
  <si>
    <t>ANTT - OFÍCIO 18621/2021/GEENG/SUROD/DIR-ANTT (SEI nº 7216734)</t>
  </si>
  <si>
    <t>ANTT - OFÍCIO 18622/2021/GEENG/SUROD/DIR-ANTT (SEI nº 7216749)</t>
  </si>
  <si>
    <t>ANTT - OFÍCIO 18623/2021/GEENG/SUROD/DIR-ANTT (SEI nº 7216754)</t>
  </si>
  <si>
    <t>Improdutivo</t>
  </si>
  <si>
    <t>S5</t>
  </si>
  <si>
    <t>Total de diárias:</t>
  </si>
  <si>
    <t>Custos Gerenciais e Indiretos - LOTE 02</t>
  </si>
  <si>
    <t>RJ/SP</t>
  </si>
  <si>
    <t>1ª Etapa</t>
  </si>
  <si>
    <t>BR-116/RJ/SP (NOVADUTRA)</t>
  </si>
  <si>
    <t>Rio de Janeiro – São Paulo</t>
  </si>
  <si>
    <t>SP/PR</t>
  </si>
  <si>
    <t>2ª Etapa</t>
  </si>
  <si>
    <t>BR-116/SP/PR (RÉGIS BITTENCOURT)</t>
  </si>
  <si>
    <t>São Paulo – Curitiba (Régis Bitencourt)</t>
  </si>
  <si>
    <t>SP</t>
  </si>
  <si>
    <t>BR-153/SP (TRANSBRASILIANA)</t>
  </si>
  <si>
    <t>Divisa MG/SP - Divisa SP/PR</t>
  </si>
  <si>
    <t>PR/SC</t>
  </si>
  <si>
    <t>BR-116/PR/SC (PLANALTO SUL)</t>
  </si>
  <si>
    <t>Curitiba - Divisa SC/RS</t>
  </si>
  <si>
    <t>BR-376/PR - BR-101/SC (LITORAL SUL)</t>
  </si>
  <si>
    <t>Curitiba - Palhoça</t>
  </si>
  <si>
    <t>SC</t>
  </si>
  <si>
    <t>BR-101/SC (ViaCosteira)</t>
  </si>
  <si>
    <t>Paulo Lopes - Divisa SC/RS</t>
  </si>
  <si>
    <t>RODOVIAS 
LOTE 03:</t>
  </si>
  <si>
    <t>GO/MG</t>
  </si>
  <si>
    <t>BR-364/365/GO/MG (Ecovias do Cerrado)</t>
  </si>
  <si>
    <t>Jataí/GO – Uberlândia/MG</t>
  </si>
  <si>
    <t>Custos Gerenciais e Indiretos - LOTE 03</t>
  </si>
  <si>
    <t>Custos Gerenciais e Indiretos - LOTE 04</t>
  </si>
  <si>
    <t>RODOVIAS 
LOTE 04:</t>
  </si>
  <si>
    <t>Data base: Abril/21</t>
  </si>
  <si>
    <t>LOTE 03</t>
  </si>
  <si>
    <t>LOTE 04</t>
  </si>
  <si>
    <t>Monitoração Contorno Rodoviário de Florianópolis</t>
  </si>
  <si>
    <t>Comercial (2,60% do C.M.C.C - SINAPI)</t>
  </si>
  <si>
    <t>Residencial (1,70% do C.M.C.C. - SINAPI)</t>
  </si>
  <si>
    <t>0,43% sobre (PV - Lucro)</t>
  </si>
  <si>
    <t>Litoral Sul</t>
  </si>
  <si>
    <t>Duração dos serviços de campo</t>
  </si>
  <si>
    <t>Monitoração das Estruturas Físicas</t>
  </si>
  <si>
    <t>DATAS (2019)</t>
  </si>
  <si>
    <t>Duração (dias)</t>
  </si>
  <si>
    <t>Retorno em campo</t>
  </si>
  <si>
    <t>DATAS (2020)</t>
  </si>
  <si>
    <t>Observação</t>
  </si>
  <si>
    <t>DATAS (2021)</t>
  </si>
  <si>
    <t>Início campo</t>
  </si>
  <si>
    <t>Final campo</t>
  </si>
  <si>
    <t>Inicio</t>
  </si>
  <si>
    <t>Fim</t>
  </si>
  <si>
    <t>3.1.1</t>
  </si>
  <si>
    <t>Pavimento (Anual)</t>
  </si>
  <si>
    <t>-</t>
  </si>
  <si>
    <t>Única empresa que faz todas as avaliações (IRI, Área trincada, Aderência, ICP) do pavimento.</t>
  </si>
  <si>
    <t>Única empresa que faz todas as avaliações (IRI, Área trincada, Aderência, ICP) do pavimento. Prorrogação de prazo concedida através do OFÍCIO SEI Nº 18120/2021/SJPINHAIS/ COINFSP/URSP-ANTT e OFÍCIO SEI Nº 19061/2021/COINFSC/URSC-ANTT</t>
  </si>
  <si>
    <t>3.1.2</t>
  </si>
  <si>
    <t>Sinalização Horizontal (semestral)</t>
  </si>
  <si>
    <t>Monitoração da pista principal é realizado no período noturno. Retorno em campo para conferir as recuperações realizadas para a entrega do relatório.</t>
  </si>
  <si>
    <t>Sinalização Vertical (semestral)</t>
  </si>
  <si>
    <t>Retorno em campo para conferir as recuperações realizadas para a entrega do relatório. Monitoração aérea é realizado no período noturno. São pelo menos 3 equipes em campo (pelo menos uma equipe em cada estado) e mais uma equipe a noite (aérea).</t>
  </si>
  <si>
    <t>Retorno em campo para conferir as recuperações realizadas para a entrega do relatório. Monitoração aérea é realizado no período noturno. São pelo menos 2 equipes em campo (pelo menos uma equipe em cada estado) e mais uma equipe a noite (aérea).</t>
  </si>
  <si>
    <t>3.1.3</t>
  </si>
  <si>
    <t>Obras-de-Arte Especial - OAE (Anual)</t>
  </si>
  <si>
    <t>Trabalhou-se as 2ª primeiras semanas de maio/2020 com duas equipes, estas retornam ao escritório para compilar os dados e voltam as 2 equipes ao trecho no fim junho em campo para concluir o serviços.</t>
  </si>
  <si>
    <t>Trabalharam as primeiras semanas de maio/2021, estas retornam ao escritório para compilar os dados e voltaram as equipes ao trecho e junho em campo até concluirem o serviços.</t>
  </si>
  <si>
    <t>3.1.5</t>
  </si>
  <si>
    <t>Terrapleno e Estrutura de Contenção (Anual)</t>
  </si>
  <si>
    <t>Trabalha-se com duas equipe em campo.</t>
  </si>
  <si>
    <t>Planalto Sul</t>
  </si>
  <si>
    <t>Única empresa que faz todas as avaliações (IRI, Área trincada, Aderência, ICP) do pavimento. Prorrogação de prazo concedida através do OFÍCIO SEI Nº 17528/2021/SJPINHAIS/ COINFSP/URSP-ANTT e OFÍCIO SEI Nº 19048/2021/COINFSC/URSC-ANTT</t>
  </si>
  <si>
    <t>02/10/2020 e 19/11/2020</t>
  </si>
  <si>
    <t>Trabalhou-se entre os dias 24/09 a 02/10/20, a equipe retornou ao escritório e voltou no trecho no dia 19/11 para concluir .Ainda, retornou em campo em dez/2020 para conferir as recuperações realizadas para a entrega do relatório.</t>
  </si>
  <si>
    <t>Prorrogação de prazo concedida através do Oficio SEI Nº 19077/2021/COINFSC/URSC-ANTT.</t>
  </si>
  <si>
    <t xml:space="preserve">São pelo menos 2 equipes em campo (uma equipe em cada estado). Retorno em campo para conferir as recuperações realizadas para a entrega do relatório. </t>
  </si>
  <si>
    <t>Retorno em campo para conferir as recuperações realizadas para a entrega do relatório. São pelo menos 2 equipes em campo (pelo menos uma equipe em cada estado) .</t>
  </si>
  <si>
    <t>Trabalhou-se a 1ª semana de maio/2020 com uma equipe, esta retorna ao escritório para compilar os dados e voltou no trecho no fim junho em campo para concluir o serviço.</t>
  </si>
  <si>
    <t>RÉGIS BITTENCOURT
MONITORAÇÃO DAS ESTRUTURAS FÍSICAS
(SERVIÇOS DE CAMPO)</t>
  </si>
  <si>
    <t>Datas (2019)</t>
  </si>
  <si>
    <t>Duração
(dias)</t>
  </si>
  <si>
    <t>Datas (2020)</t>
  </si>
  <si>
    <t>Início</t>
  </si>
  <si>
    <t>Final</t>
  </si>
  <si>
    <t>Pavimento (anual)</t>
  </si>
  <si>
    <t>Única empresa que faz todas as avaliações (IRI, Área trincada, Aderência, ICP) do pavimento. Conforme oficio de solicitação de prorrogação de prazo ARB/MON/21062401, protocolado na ANTT no dia 25/06/2021 (Processo nº 50500.027185/2021-70, Recibo Eletrônico de Protocolo 7018142).</t>
  </si>
  <si>
    <t>Retorno em campo para conferir as recuperações realizadas para a entrega do relatório.</t>
  </si>
  <si>
    <t>Retorno em campo para conferir as recuperações realizadas para a entrega do relatório.  São pelo menos 3 equipes em campo (pelo menos uma equipe em cada estado).</t>
  </si>
  <si>
    <t>Retorno em campo para conferir as recuperações realizadas para a entrega do relatório. Monitoração aérea é realizado no período noturno. São pelo menos 3 equipes em campo (pelo menos uma equipe em cada estado).</t>
  </si>
  <si>
    <t>OAE (anual)</t>
  </si>
  <si>
    <t>Trabalhou-se as 2ª primeiras semanas com duas equipes, estas retornam ao escritório para compilar os dados e voltam as 2 equipes ao trecho em campo após uma semana, e assim, até finalizar os serviços.</t>
  </si>
  <si>
    <t>Trabalharam as primeiras semanas de março/2021, estas retornam ao escritório para compilar os dados e voltaram as equipes ao trecho e junho em abril até concluirem o serviços.</t>
  </si>
  <si>
    <t>Terrapleno e Estrutura de Contenção (anual)</t>
  </si>
  <si>
    <t>Duração Total (dias)</t>
  </si>
  <si>
    <t>N/A</t>
  </si>
  <si>
    <t>CONCESSIONÁRIA:  NOVADUTRA</t>
  </si>
  <si>
    <t>MONITORAÇÃO DAS ESTRUTURAS FÍSICAS
(SERVIÇOS DE CAMPO)</t>
  </si>
  <si>
    <t>Os retornos são realizados dentro do período informado, se necessários.
O levantamento do ICP realizado em 2020 teve duração de 30 dias, entre os dias 01/10/20 e 30/10/2020</t>
  </si>
  <si>
    <t>Sinalização Horizontal (anual)</t>
  </si>
  <si>
    <t>Os retornos são realizados dentro do período informado, se necessários.</t>
  </si>
  <si>
    <t>Sinalização Vertical (anual)</t>
  </si>
  <si>
    <t>CONCESSIONÁRIA:  TRANSBRASILIANA</t>
  </si>
  <si>
    <t>Sinalização Horizontal (1º Semestre)</t>
  </si>
  <si>
    <t>houve interrupções devido á pandemis</t>
  </si>
  <si>
    <t>Sinalização Vertical (1º Semestre)</t>
  </si>
  <si>
    <t>Sinalização Horizontal (2º Semestre)</t>
  </si>
  <si>
    <t>Sinalização Vertical (2º Semestre)</t>
  </si>
  <si>
    <t>Duração
(dias úteis)</t>
  </si>
  <si>
    <t>Duração total</t>
  </si>
  <si>
    <t>Resumo do Contrato de Supervisão - Anual - LOTE 02</t>
  </si>
  <si>
    <t>Resumo do Contrato de Supervisão - Anual - LOTE 01</t>
  </si>
  <si>
    <t>Resumo do Contrato de Supervisão - Anual - LOTE 03</t>
  </si>
  <si>
    <t>Resumo do Contrato de Supervisão - Anual - LOTE 04</t>
  </si>
  <si>
    <t xml:space="preserve">Código </t>
  </si>
  <si>
    <t xml:space="preserve">Categoria </t>
  </si>
  <si>
    <t xml:space="preserve">Unid. </t>
  </si>
  <si>
    <t xml:space="preserve">Salário </t>
  </si>
  <si>
    <t xml:space="preserve"> Encargos Sociais </t>
  </si>
  <si>
    <t xml:space="preserve">Encargos Sociais </t>
  </si>
  <si>
    <t xml:space="preserve">Encargos Complementares </t>
  </si>
  <si>
    <t xml:space="preserve">Encargos Adicionais </t>
  </si>
  <si>
    <t xml:space="preserve">Encargos Totais </t>
  </si>
  <si>
    <t xml:space="preserve">Valor Total </t>
  </si>
  <si>
    <t xml:space="preserve">Alimentação </t>
  </si>
  <si>
    <t xml:space="preserve">EPI </t>
  </si>
  <si>
    <t xml:space="preserve">Ferramenta </t>
  </si>
  <si>
    <t xml:space="preserve">Transporte </t>
  </si>
  <si>
    <t xml:space="preserve">Exame Ocupacional </t>
  </si>
  <si>
    <t xml:space="preserve">Cesta Básica </t>
  </si>
  <si>
    <t xml:space="preserve">Assistência Médica </t>
  </si>
  <si>
    <t xml:space="preserve">Seguro de Vida </t>
  </si>
  <si>
    <t xml:space="preserve">R$ </t>
  </si>
  <si>
    <t xml:space="preserve">% </t>
  </si>
  <si>
    <t xml:space="preserve">Advogado júnior </t>
  </si>
  <si>
    <t xml:space="preserve">mês </t>
  </si>
  <si>
    <t xml:space="preserve">Advogado pleno </t>
  </si>
  <si>
    <t xml:space="preserve">Advogado sênior </t>
  </si>
  <si>
    <t xml:space="preserve">Analista de desenvolvimento de sistemas júnior </t>
  </si>
  <si>
    <t xml:space="preserve">P8008 </t>
  </si>
  <si>
    <t xml:space="preserve">Analista de desenvolvimento de sistemas pleno </t>
  </si>
  <si>
    <t xml:space="preserve">P8009 </t>
  </si>
  <si>
    <t xml:space="preserve">Analista de desenvolvimento de sistemas sênior </t>
  </si>
  <si>
    <t xml:space="preserve">P8013 </t>
  </si>
  <si>
    <t xml:space="preserve">Arquiteto júnior </t>
  </si>
  <si>
    <t xml:space="preserve">P8014 </t>
  </si>
  <si>
    <t xml:space="preserve">Arquiteto pleno </t>
  </si>
  <si>
    <t xml:space="preserve">P8015 </t>
  </si>
  <si>
    <t xml:space="preserve">Arquiteto sênior </t>
  </si>
  <si>
    <t xml:space="preserve">P8019 </t>
  </si>
  <si>
    <t xml:space="preserve">Assistente social júnior </t>
  </si>
  <si>
    <t xml:space="preserve">P8020 </t>
  </si>
  <si>
    <t xml:space="preserve">Assistente social pleno </t>
  </si>
  <si>
    <t xml:space="preserve">P8021 </t>
  </si>
  <si>
    <t xml:space="preserve">Assistente social sênior </t>
  </si>
  <si>
    <t xml:space="preserve">P8025 </t>
  </si>
  <si>
    <t xml:space="preserve">Auxiliar </t>
  </si>
  <si>
    <t xml:space="preserve">P8026 </t>
  </si>
  <si>
    <t xml:space="preserve">Auxiliar administrativo </t>
  </si>
  <si>
    <t xml:space="preserve">P8027 </t>
  </si>
  <si>
    <t xml:space="preserve">Auxiliar de laboratório </t>
  </si>
  <si>
    <t xml:space="preserve">P8028 </t>
  </si>
  <si>
    <t xml:space="preserve">Auxiliar de topografia </t>
  </si>
  <si>
    <t xml:space="preserve">P8032 </t>
  </si>
  <si>
    <t xml:space="preserve">Biólogo júnior </t>
  </si>
  <si>
    <t xml:space="preserve">P8033 </t>
  </si>
  <si>
    <t xml:space="preserve">Biólogo pleno </t>
  </si>
  <si>
    <t xml:space="preserve">P8034 </t>
  </si>
  <si>
    <t xml:space="preserve">Biólogo sênior </t>
  </si>
  <si>
    <t xml:space="preserve">P8038 </t>
  </si>
  <si>
    <t xml:space="preserve">Chefe de escritório </t>
  </si>
  <si>
    <t xml:space="preserve">P8040 </t>
  </si>
  <si>
    <t xml:space="preserve">Contador júnior </t>
  </si>
  <si>
    <t xml:space="preserve">P8041 </t>
  </si>
  <si>
    <t xml:space="preserve">Contador pleno </t>
  </si>
  <si>
    <t xml:space="preserve">P8042 </t>
  </si>
  <si>
    <t xml:space="preserve">Contador sênior </t>
  </si>
  <si>
    <t xml:space="preserve">P8044 </t>
  </si>
  <si>
    <t xml:space="preserve">Coordenador ambiental  </t>
  </si>
  <si>
    <t xml:space="preserve">P8045 </t>
  </si>
  <si>
    <t xml:space="preserve">Economista júnior </t>
  </si>
  <si>
    <t xml:space="preserve">P8046 </t>
  </si>
  <si>
    <t xml:space="preserve">Economista pleno </t>
  </si>
  <si>
    <t xml:space="preserve">P8047 </t>
  </si>
  <si>
    <t xml:space="preserve">Economista sênior </t>
  </si>
  <si>
    <t xml:space="preserve">P8051 </t>
  </si>
  <si>
    <t xml:space="preserve">Engenheiro agrimensor/Geógrafo júnior </t>
  </si>
  <si>
    <t xml:space="preserve">P8052 </t>
  </si>
  <si>
    <t xml:space="preserve">Engenheiro agrimensor/Geógrafo pleno </t>
  </si>
  <si>
    <t xml:space="preserve">P8053 </t>
  </si>
  <si>
    <t xml:space="preserve">Engenheiro agrimensor/Geógrafo sênior </t>
  </si>
  <si>
    <t xml:space="preserve">P8054 </t>
  </si>
  <si>
    <t xml:space="preserve">Engenheiro agrônomo júnior </t>
  </si>
  <si>
    <t xml:space="preserve">P8055 </t>
  </si>
  <si>
    <t xml:space="preserve">Engenheiro agrônomo pleno </t>
  </si>
  <si>
    <t xml:space="preserve">P8056 </t>
  </si>
  <si>
    <t xml:space="preserve">Engenheiro agrônomo sênior </t>
  </si>
  <si>
    <t xml:space="preserve">P8057 </t>
  </si>
  <si>
    <t xml:space="preserve">Engenheiro ambiental júnior </t>
  </si>
  <si>
    <t xml:space="preserve">P8058 </t>
  </si>
  <si>
    <t xml:space="preserve">Engenheiro ambiental pleno </t>
  </si>
  <si>
    <t xml:space="preserve">P8059 </t>
  </si>
  <si>
    <t xml:space="preserve">Engenheiro ambiental sênior </t>
  </si>
  <si>
    <t xml:space="preserve">P8060 </t>
  </si>
  <si>
    <t xml:space="preserve">Engenheiro consultor especial </t>
  </si>
  <si>
    <t xml:space="preserve">P8061 </t>
  </si>
  <si>
    <t xml:space="preserve">Engenheiro coordenador </t>
  </si>
  <si>
    <t xml:space="preserve">P8062 </t>
  </si>
  <si>
    <t xml:space="preserve">Engenheiro de pesca júnior </t>
  </si>
  <si>
    <t xml:space="preserve">P8063 </t>
  </si>
  <si>
    <t xml:space="preserve">Engenheiro de pesca pleno </t>
  </si>
  <si>
    <t xml:space="preserve">P8064 </t>
  </si>
  <si>
    <t xml:space="preserve">Engenheiro de pesca sênior </t>
  </si>
  <si>
    <t xml:space="preserve">P8065 </t>
  </si>
  <si>
    <t xml:space="preserve">Engenheiro de projetos júnior </t>
  </si>
  <si>
    <t xml:space="preserve">P8066 </t>
  </si>
  <si>
    <t xml:space="preserve">Engenheiro de projetos pleno </t>
  </si>
  <si>
    <t xml:space="preserve">P8067 </t>
  </si>
  <si>
    <t xml:space="preserve">Engenheiro de projetos sênior </t>
  </si>
  <si>
    <t xml:space="preserve">P8068 </t>
  </si>
  <si>
    <t xml:space="preserve">Engenheiro florestal júnior </t>
  </si>
  <si>
    <t xml:space="preserve">P8069 </t>
  </si>
  <si>
    <t xml:space="preserve">Engenheiro florestal pleno </t>
  </si>
  <si>
    <t xml:space="preserve">P8070 </t>
  </si>
  <si>
    <t xml:space="preserve">Engenheiro florestal sênior </t>
  </si>
  <si>
    <t xml:space="preserve">P8080 </t>
  </si>
  <si>
    <t xml:space="preserve">Geólogo júnior </t>
  </si>
  <si>
    <t xml:space="preserve">P8081 </t>
  </si>
  <si>
    <t xml:space="preserve">Geólogo pleno </t>
  </si>
  <si>
    <t xml:space="preserve">P8082 </t>
  </si>
  <si>
    <t xml:space="preserve">Geólogo sênior </t>
  </si>
  <si>
    <t xml:space="preserve">P8086 </t>
  </si>
  <si>
    <t xml:space="preserve">Historiador/Sociólogo júnior </t>
  </si>
  <si>
    <t xml:space="preserve">P8087 </t>
  </si>
  <si>
    <t xml:space="preserve">Historiador/Sociólogo pleno </t>
  </si>
  <si>
    <t xml:space="preserve">P8088 </t>
  </si>
  <si>
    <t xml:space="preserve">Historiador/Sociólogo sênior </t>
  </si>
  <si>
    <t xml:space="preserve">P8092 </t>
  </si>
  <si>
    <t xml:space="preserve">Jornalista júnior </t>
  </si>
  <si>
    <t xml:space="preserve">P8093 </t>
  </si>
  <si>
    <t xml:space="preserve">Jornalista pleno </t>
  </si>
  <si>
    <t xml:space="preserve">P8094 </t>
  </si>
  <si>
    <t xml:space="preserve">Jornalista sênior </t>
  </si>
  <si>
    <t xml:space="preserve">P8098 </t>
  </si>
  <si>
    <t xml:space="preserve">Laboratorista </t>
  </si>
  <si>
    <t xml:space="preserve">P8102 </t>
  </si>
  <si>
    <t xml:space="preserve">Médico veterinário </t>
  </si>
  <si>
    <t xml:space="preserve">P8106 </t>
  </si>
  <si>
    <t xml:space="preserve">Meteorologista júnior </t>
  </si>
  <si>
    <t xml:space="preserve">P8107 </t>
  </si>
  <si>
    <t xml:space="preserve">Meteorologista pleno </t>
  </si>
  <si>
    <t xml:space="preserve">P8108 </t>
  </si>
  <si>
    <t xml:space="preserve">Meteorologista sênior </t>
  </si>
  <si>
    <t xml:space="preserve">P8112 </t>
  </si>
  <si>
    <t xml:space="preserve">Motorista de caminhão </t>
  </si>
  <si>
    <t xml:space="preserve">P8113 </t>
  </si>
  <si>
    <t xml:space="preserve">Motorista de veículo leve </t>
  </si>
  <si>
    <t xml:space="preserve">P8117 </t>
  </si>
  <si>
    <t xml:space="preserve">Oceanógrafo júnior </t>
  </si>
  <si>
    <t xml:space="preserve">P8118 </t>
  </si>
  <si>
    <t xml:space="preserve">Oceanógrafo pleno </t>
  </si>
  <si>
    <t xml:space="preserve">P8119 </t>
  </si>
  <si>
    <t xml:space="preserve">Oceanógrafo sênior </t>
  </si>
  <si>
    <t xml:space="preserve">P8123 </t>
  </si>
  <si>
    <t xml:space="preserve">Paleontólogo/Arqueólogo/Antropólogo júnior </t>
  </si>
  <si>
    <t xml:space="preserve">P8124 </t>
  </si>
  <si>
    <t xml:space="preserve">Paleontólogo/Arqueólogo/Antropólogo pleno </t>
  </si>
  <si>
    <t xml:space="preserve">P8125 </t>
  </si>
  <si>
    <t xml:space="preserve">Paleontólogo/Arqueólogo/Antropólogo sênior </t>
  </si>
  <si>
    <t xml:space="preserve">P8129 </t>
  </si>
  <si>
    <t xml:space="preserve">Pedagogo júnior </t>
  </si>
  <si>
    <t xml:space="preserve">P8130 </t>
  </si>
  <si>
    <t xml:space="preserve">Pedagogo pleno </t>
  </si>
  <si>
    <t xml:space="preserve">P8131 </t>
  </si>
  <si>
    <t xml:space="preserve">Pedagogo sênior </t>
  </si>
  <si>
    <t xml:space="preserve">P8135 </t>
  </si>
  <si>
    <t xml:space="preserve">Secretária </t>
  </si>
  <si>
    <t xml:space="preserve">P8139 </t>
  </si>
  <si>
    <t xml:space="preserve">Sondador </t>
  </si>
  <si>
    <t xml:space="preserve">P8143 </t>
  </si>
  <si>
    <t xml:space="preserve">Técnico ambiental </t>
  </si>
  <si>
    <t xml:space="preserve">P8147 </t>
  </si>
  <si>
    <t xml:space="preserve">Técnico de obras </t>
  </si>
  <si>
    <t xml:space="preserve">P8151 </t>
  </si>
  <si>
    <t xml:space="preserve">Técnico de segurança do trabalho </t>
  </si>
  <si>
    <t xml:space="preserve">P8155 </t>
  </si>
  <si>
    <t xml:space="preserve">Técnico em geoprocessamento </t>
  </si>
  <si>
    <t xml:space="preserve">P8159 </t>
  </si>
  <si>
    <t xml:space="preserve">Técnico em informática - programador </t>
  </si>
  <si>
    <t xml:space="preserve">P8163 </t>
  </si>
  <si>
    <t xml:space="preserve">Topógrafo </t>
  </si>
  <si>
    <t xml:space="preserve">P8167 </t>
  </si>
  <si>
    <t xml:space="preserve">Arquivista júnior </t>
  </si>
  <si>
    <t xml:space="preserve">P8168 </t>
  </si>
  <si>
    <t xml:space="preserve">Arquivista pleno </t>
  </si>
  <si>
    <t xml:space="preserve">P8169 </t>
  </si>
  <si>
    <t xml:space="preserve">Arquivista sênior </t>
  </si>
  <si>
    <t xml:space="preserve">P8173 </t>
  </si>
  <si>
    <t xml:space="preserve">Administrador júnior </t>
  </si>
  <si>
    <t xml:space="preserve">P8174 </t>
  </si>
  <si>
    <t xml:space="preserve">Administrador pleno </t>
  </si>
  <si>
    <t xml:space="preserve">P8175 </t>
  </si>
  <si>
    <t xml:space="preserve">Administrador sênior </t>
  </si>
  <si>
    <t>Tabela 01 - Consolidação dos custos de mão de obra da engenharia consultiva - mês de referência: julho de 2021</t>
  </si>
  <si>
    <t xml:space="preserve">E8889 </t>
  </si>
  <si>
    <t xml:space="preserve">E8891 </t>
  </si>
  <si>
    <t xml:space="preserve">B8959 </t>
  </si>
  <si>
    <t xml:space="preserve">B8951 </t>
  </si>
  <si>
    <t xml:space="preserve">B8953 </t>
  </si>
  <si>
    <t>Tabela 01 - Custos de veículos da Engenharia Consultiva - mês de referência: julho/2021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</si>
</sst>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00.00\ &quot;km&quot;"/>
    <numFmt numFmtId="166" formatCode="_-* #,##0.00_-;\-* #,##0.00_-;_-* \-??_-;_-@_-"/>
    <numFmt numFmtId="167" formatCode="_(* #,##0.00_);_(* \(#,##0.00\);_(* \-??_);_(@_)"/>
    <numFmt numFmtId="168" formatCode="_-* #,##0.0000_-;\-* #,##0.0000_-;_-* &quot;-&quot;??_-;_-@_-"/>
    <numFmt numFmtId="169" formatCode="#,##0.0"/>
    <numFmt numFmtId="170" formatCode="#,##0_ ;\-#,##0\ "/>
    <numFmt numFmtId="171" formatCode="0.000000000"/>
    <numFmt numFmtId="172" formatCode="#,##0.00;#,##0.00"/>
    <numFmt numFmtId="173" formatCode="###0.00;###0.00"/>
    <numFmt numFmtId="174" formatCode="0.0"/>
  </numFmts>
  <fonts count="8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Arial"/>
      <family val="2"/>
    </font>
    <font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sz val="10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"/>
      <name val="Calibri"/>
      <family val="2"/>
    </font>
    <font>
      <b/>
      <sz val="10"/>
      <color indexed="9"/>
      <name val="Arial"/>
      <family val="2"/>
    </font>
    <font>
      <sz val="10"/>
      <color theme="5"/>
      <name val="Arial"/>
      <family val="2"/>
    </font>
    <font>
      <sz val="10"/>
      <color indexed="8"/>
      <name val="Calibri"/>
      <family val="2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b/>
      <sz val="6"/>
      <color rgb="FFFFFFFF"/>
      <name val="Arial"/>
      <family val="2"/>
    </font>
    <font>
      <sz val="6"/>
      <name val="Arial"/>
      <family val="2"/>
    </font>
    <font>
      <sz val="6"/>
      <name val="Arial"/>
      <family val="2"/>
    </font>
    <font>
      <sz val="6"/>
      <color rgb="FF000000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i/>
      <sz val="11"/>
      <color theme="1"/>
      <name val="Arial"/>
      <family val="2"/>
    </font>
    <font>
      <sz val="12"/>
      <name val="Arial"/>
      <family val="2"/>
    </font>
    <font>
      <b/>
      <sz val="12"/>
      <color theme="1"/>
      <name val="Ecofont Vera Sans"/>
      <family val="2"/>
    </font>
    <font>
      <sz val="11"/>
      <color theme="1"/>
      <name val="Ecofont Vera Sans"/>
      <family val="2"/>
    </font>
    <font>
      <b/>
      <i/>
      <sz val="14"/>
      <color theme="1"/>
      <name val="Calibri"/>
      <family val="2"/>
      <scheme val="minor"/>
    </font>
    <font>
      <b/>
      <sz val="12"/>
      <color rgb="FF000000"/>
      <name val="Ecofont Vera Sans"/>
      <family val="2"/>
    </font>
    <font>
      <b/>
      <sz val="9"/>
      <color theme="1"/>
      <name val="Ecofont Vera Sans"/>
      <family val="2"/>
    </font>
    <font>
      <b/>
      <sz val="8"/>
      <color rgb="FF000000"/>
      <name val="Ecofont Vera Sans"/>
      <family val="2"/>
    </font>
    <font>
      <b/>
      <sz val="10"/>
      <color rgb="FF000000"/>
      <name val="Ecofont Vera Sans"/>
      <family val="2"/>
    </font>
    <font>
      <sz val="10"/>
      <color rgb="FF000000"/>
      <name val="Ecofont Vera Sans"/>
      <family val="2"/>
    </font>
    <font>
      <b/>
      <sz val="6"/>
      <color rgb="FF000000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 "/>
    </font>
    <font>
      <sz val="12"/>
      <color theme="1"/>
      <name val="Ecofont Vera Sans"/>
      <family val="2"/>
    </font>
    <font>
      <b/>
      <sz val="12"/>
      <color theme="1"/>
      <name val="Ecofont Vera Sans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9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22"/>
      </patternFill>
    </fill>
    <fill>
      <patternFill patternType="solid">
        <fgColor theme="0"/>
        <bgColor indexed="23"/>
      </patternFill>
    </fill>
    <fill>
      <patternFill patternType="solid">
        <fgColor rgb="FF00376F"/>
      </patternFill>
    </fill>
    <fill>
      <patternFill patternType="solid">
        <fgColor rgb="FFCCFFCC"/>
        <bgColor indexed="64"/>
      </patternFill>
    </fill>
    <fill>
      <patternFill patternType="solid">
        <fgColor rgb="FF003770"/>
        <bgColor indexed="64"/>
      </patternFill>
    </fill>
  </fills>
  <borders count="1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376F"/>
      </top>
      <bottom/>
      <diagonal/>
    </border>
    <border>
      <left style="thin">
        <color rgb="FF000000"/>
      </left>
      <right/>
      <top style="thin">
        <color rgb="FF00376F"/>
      </top>
      <bottom style="thin">
        <color rgb="FF000000"/>
      </bottom>
      <diagonal/>
    </border>
    <border>
      <left/>
      <right/>
      <top style="thin">
        <color rgb="FF00376F"/>
      </top>
      <bottom style="thin">
        <color rgb="FF000000"/>
      </bottom>
      <diagonal/>
    </border>
    <border>
      <left/>
      <right style="thin">
        <color rgb="FF000000"/>
      </right>
      <top style="thin">
        <color rgb="FF00376F"/>
      </top>
      <bottom style="thin">
        <color rgb="FF000000"/>
      </bottom>
      <diagonal/>
    </border>
    <border>
      <left style="thin">
        <color rgb="FF000000"/>
      </left>
      <right/>
      <top style="thin">
        <color rgb="FF00376F"/>
      </top>
      <bottom/>
      <diagonal/>
    </border>
    <border>
      <left/>
      <right style="thin">
        <color rgb="FF000000"/>
      </right>
      <top style="thin">
        <color rgb="FF00376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376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3770"/>
      </top>
      <bottom/>
      <diagonal/>
    </border>
    <border>
      <left/>
      <right style="medium">
        <color rgb="FF000000"/>
      </right>
      <top/>
      <bottom style="thick">
        <color rgb="FF00377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3770"/>
      </top>
      <bottom/>
      <diagonal/>
    </border>
    <border>
      <left style="medium">
        <color rgb="FF000000"/>
      </left>
      <right/>
      <top/>
      <bottom style="thick">
        <color rgb="FF00377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2" fillId="0" borderId="0"/>
    <xf numFmtId="43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  <xf numFmtId="0" fontId="10" fillId="0" borderId="0" applyFont="0" applyFill="0" applyBorder="0" applyAlignment="0" applyProtection="0"/>
    <xf numFmtId="0" fontId="37" fillId="0" borderId="0"/>
    <xf numFmtId="0" fontId="68" fillId="0" borderId="0" applyNumberFormat="0" applyFill="0" applyBorder="0" applyAlignment="0" applyProtection="0"/>
  </cellStyleXfs>
  <cellXfs count="741">
    <xf numFmtId="0" fontId="0" fillId="0" borderId="0" xfId="0"/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2" fillId="0" borderId="0" xfId="4"/>
    <xf numFmtId="0" fontId="2" fillId="0" borderId="0" xfId="4" applyBorder="1"/>
    <xf numFmtId="0" fontId="14" fillId="0" borderId="0" xfId="4" applyFont="1" applyBorder="1" applyAlignment="1">
      <alignment horizontal="right"/>
    </xf>
    <xf numFmtId="165" fontId="15" fillId="0" borderId="0" xfId="4" applyNumberFormat="1" applyFont="1" applyFill="1" applyBorder="1" applyAlignment="1">
      <alignment horizontal="center" vertical="center"/>
    </xf>
    <xf numFmtId="0" fontId="16" fillId="0" borderId="0" xfId="4" applyFont="1" applyBorder="1" applyAlignment="1">
      <alignment horizontal="right"/>
    </xf>
    <xf numFmtId="0" fontId="3" fillId="0" borderId="12" xfId="4" applyFont="1" applyBorder="1" applyAlignment="1">
      <alignment vertical="center"/>
    </xf>
    <xf numFmtId="43" fontId="3" fillId="0" borderId="12" xfId="4" applyNumberFormat="1" applyFont="1" applyBorder="1" applyAlignment="1">
      <alignment vertical="center"/>
    </xf>
    <xf numFmtId="0" fontId="3" fillId="0" borderId="12" xfId="4" applyFont="1" applyBorder="1" applyAlignment="1">
      <alignment horizontal="center" vertical="center"/>
    </xf>
    <xf numFmtId="0" fontId="3" fillId="0" borderId="16" xfId="4" applyFont="1" applyBorder="1" applyAlignment="1">
      <alignment vertical="center"/>
    </xf>
    <xf numFmtId="0" fontId="3" fillId="0" borderId="16" xfId="4" applyFont="1" applyBorder="1" applyAlignment="1">
      <alignment horizontal="center" vertical="center"/>
    </xf>
    <xf numFmtId="166" fontId="3" fillId="2" borderId="0" xfId="5" applyFont="1" applyFill="1" applyBorder="1" applyAlignment="1" applyProtection="1">
      <alignment horizontal="center" vertical="center"/>
    </xf>
    <xf numFmtId="43" fontId="17" fillId="0" borderId="0" xfId="1" applyFont="1" applyBorder="1" applyAlignment="1">
      <alignment horizontal="right" vertical="center"/>
    </xf>
    <xf numFmtId="166" fontId="3" fillId="2" borderId="17" xfId="5" applyFont="1" applyFill="1" applyBorder="1" applyAlignment="1" applyProtection="1">
      <alignment horizontal="center" vertical="center"/>
    </xf>
    <xf numFmtId="4" fontId="2" fillId="0" borderId="0" xfId="1" applyNumberFormat="1" applyFont="1" applyBorder="1" applyAlignment="1">
      <alignment horizontal="right" vertical="top"/>
    </xf>
    <xf numFmtId="0" fontId="13" fillId="0" borderId="18" xfId="4" applyFont="1" applyBorder="1" applyAlignment="1">
      <alignment horizontal="center" vertical="center"/>
    </xf>
    <xf numFmtId="0" fontId="13" fillId="0" borderId="19" xfId="4" applyFont="1" applyBorder="1" applyAlignment="1">
      <alignment horizontal="center" vertical="center"/>
    </xf>
    <xf numFmtId="0" fontId="13" fillId="0" borderId="20" xfId="4" applyFont="1" applyBorder="1" applyAlignment="1">
      <alignment vertical="center"/>
    </xf>
    <xf numFmtId="0" fontId="13" fillId="0" borderId="20" xfId="4" applyFont="1" applyBorder="1" applyAlignment="1">
      <alignment horizontal="center" vertical="center"/>
    </xf>
    <xf numFmtId="43" fontId="13" fillId="0" borderId="21" xfId="4" applyNumberFormat="1" applyFont="1" applyBorder="1" applyAlignment="1">
      <alignment vertical="center"/>
    </xf>
    <xf numFmtId="43" fontId="19" fillId="0" borderId="0" xfId="1" applyFont="1" applyBorder="1" applyAlignment="1">
      <alignment horizontal="center" vertical="center"/>
    </xf>
    <xf numFmtId="166" fontId="10" fillId="0" borderId="20" xfId="5" applyFont="1" applyFill="1" applyBorder="1" applyAlignment="1" applyProtection="1">
      <alignment horizontal="center" vertical="center"/>
    </xf>
    <xf numFmtId="0" fontId="11" fillId="0" borderId="20" xfId="4" applyFont="1" applyFill="1" applyBorder="1" applyAlignment="1">
      <alignment vertical="center"/>
    </xf>
    <xf numFmtId="43" fontId="2" fillId="0" borderId="0" xfId="1" applyFont="1" applyBorder="1"/>
    <xf numFmtId="0" fontId="3" fillId="0" borderId="18" xfId="4" applyFont="1" applyBorder="1" applyAlignment="1">
      <alignment horizontal="center" vertical="center"/>
    </xf>
    <xf numFmtId="0" fontId="3" fillId="0" borderId="19" xfId="4" applyFont="1" applyBorder="1" applyAlignment="1">
      <alignment horizontal="center" vertical="center"/>
    </xf>
    <xf numFmtId="167" fontId="3" fillId="0" borderId="21" xfId="4" applyNumberFormat="1" applyFont="1" applyBorder="1" applyAlignment="1">
      <alignment vertical="center"/>
    </xf>
    <xf numFmtId="0" fontId="13" fillId="0" borderId="20" xfId="4" applyFont="1" applyFill="1" applyBorder="1" applyAlignment="1">
      <alignment vertical="center"/>
    </xf>
    <xf numFmtId="0" fontId="3" fillId="0" borderId="20" xfId="4" applyFont="1" applyFill="1" applyBorder="1" applyAlignment="1">
      <alignment horizontal="center" vertical="center"/>
    </xf>
    <xf numFmtId="0" fontId="3" fillId="0" borderId="20" xfId="4" applyFont="1" applyFill="1" applyBorder="1" applyAlignment="1">
      <alignment vertical="center"/>
    </xf>
    <xf numFmtId="43" fontId="10" fillId="0" borderId="20" xfId="6" applyFill="1" applyBorder="1" applyAlignment="1">
      <alignment horizontal="center" vertical="center"/>
    </xf>
    <xf numFmtId="43" fontId="11" fillId="0" borderId="20" xfId="6" applyFont="1" applyFill="1" applyBorder="1" applyAlignment="1">
      <alignment horizontal="center" vertical="center"/>
    </xf>
    <xf numFmtId="166" fontId="11" fillId="0" borderId="20" xfId="5" applyFont="1" applyFill="1" applyBorder="1" applyAlignment="1" applyProtection="1">
      <alignment horizontal="center" vertical="center"/>
    </xf>
    <xf numFmtId="0" fontId="2" fillId="0" borderId="0" xfId="4" applyFont="1"/>
    <xf numFmtId="0" fontId="2" fillId="0" borderId="0" xfId="4" applyFont="1" applyBorder="1"/>
    <xf numFmtId="4" fontId="10" fillId="0" borderId="20" xfId="6" applyNumberFormat="1" applyFont="1" applyFill="1" applyBorder="1" applyAlignment="1">
      <alignment horizontal="right" vertical="center"/>
    </xf>
    <xf numFmtId="4" fontId="11" fillId="0" borderId="20" xfId="6" applyNumberFormat="1" applyFont="1" applyFill="1" applyBorder="1" applyAlignment="1">
      <alignment horizontal="right" vertical="center"/>
    </xf>
    <xf numFmtId="0" fontId="10" fillId="0" borderId="20" xfId="4" applyFont="1" applyFill="1" applyBorder="1" applyAlignment="1">
      <alignment vertical="center"/>
    </xf>
    <xf numFmtId="0" fontId="3" fillId="0" borderId="20" xfId="4" applyFont="1" applyBorder="1" applyAlignment="1">
      <alignment vertical="center"/>
    </xf>
    <xf numFmtId="43" fontId="10" fillId="0" borderId="20" xfId="6" applyFont="1" applyFill="1" applyBorder="1" applyAlignment="1">
      <alignment horizontal="center" vertical="center"/>
    </xf>
    <xf numFmtId="0" fontId="10" fillId="0" borderId="20" xfId="4" applyFont="1" applyFill="1" applyBorder="1" applyAlignment="1">
      <alignment horizontal="center" vertical="center"/>
    </xf>
    <xf numFmtId="2" fontId="11" fillId="0" borderId="20" xfId="6" applyNumberFormat="1" applyFont="1" applyFill="1" applyBorder="1" applyAlignment="1">
      <alignment horizontal="right" vertical="center"/>
    </xf>
    <xf numFmtId="0" fontId="3" fillId="8" borderId="22" xfId="4" applyFont="1" applyFill="1" applyBorder="1" applyAlignment="1">
      <alignment horizontal="center" vertical="center"/>
    </xf>
    <xf numFmtId="0" fontId="3" fillId="8" borderId="23" xfId="4" applyFont="1" applyFill="1" applyBorder="1" applyAlignment="1">
      <alignment horizontal="center" vertical="center"/>
    </xf>
    <xf numFmtId="167" fontId="13" fillId="8" borderId="25" xfId="4" applyNumberFormat="1" applyFont="1" applyFill="1" applyBorder="1" applyAlignment="1">
      <alignment vertical="center"/>
    </xf>
    <xf numFmtId="43" fontId="2" fillId="0" borderId="0" xfId="1" applyFont="1"/>
    <xf numFmtId="43" fontId="11" fillId="0" borderId="0" xfId="6" applyNumberFormat="1" applyFont="1"/>
    <xf numFmtId="0" fontId="3" fillId="0" borderId="0" xfId="4" applyFont="1" applyFill="1" applyAlignment="1">
      <alignment vertical="center"/>
    </xf>
    <xf numFmtId="0" fontId="3" fillId="0" borderId="0" xfId="4" applyFont="1" applyFill="1" applyAlignment="1">
      <alignment horizontal="center" vertical="center"/>
    </xf>
    <xf numFmtId="0" fontId="2" fillId="0" borderId="0" xfId="4" applyAlignment="1">
      <alignment horizontal="center"/>
    </xf>
    <xf numFmtId="0" fontId="21" fillId="0" borderId="0" xfId="8" applyFont="1" applyBorder="1" applyAlignment="1">
      <alignment horizontal="center"/>
    </xf>
    <xf numFmtId="0" fontId="22" fillId="0" borderId="0" xfId="8" applyFont="1" applyBorder="1" applyAlignment="1">
      <alignment horizontal="center"/>
    </xf>
    <xf numFmtId="0" fontId="21" fillId="0" borderId="0" xfId="8" applyFont="1" applyBorder="1" applyAlignment="1"/>
    <xf numFmtId="0" fontId="21" fillId="0" borderId="33" xfId="8" applyFont="1" applyBorder="1" applyAlignment="1">
      <alignment vertical="center"/>
    </xf>
    <xf numFmtId="0" fontId="2" fillId="0" borderId="32" xfId="4" applyBorder="1" applyAlignment="1">
      <alignment horizontal="center"/>
    </xf>
    <xf numFmtId="0" fontId="21" fillId="0" borderId="34" xfId="8" applyFont="1" applyBorder="1" applyAlignment="1">
      <alignment horizontal="center"/>
    </xf>
    <xf numFmtId="43" fontId="10" fillId="0" borderId="35" xfId="6" applyBorder="1" applyAlignment="1"/>
    <xf numFmtId="0" fontId="10" fillId="0" borderId="0" xfId="8"/>
    <xf numFmtId="0" fontId="24" fillId="0" borderId="0" xfId="8" applyFont="1" applyAlignment="1">
      <alignment horizontal="center"/>
    </xf>
    <xf numFmtId="0" fontId="11" fillId="0" borderId="0" xfId="8" applyFont="1" applyAlignment="1">
      <alignment horizontal="center"/>
    </xf>
    <xf numFmtId="0" fontId="24" fillId="0" borderId="0" xfId="8" applyFont="1" applyAlignment="1">
      <alignment horizontal="left"/>
    </xf>
    <xf numFmtId="169" fontId="11" fillId="0" borderId="0" xfId="8" applyNumberFormat="1" applyFont="1" applyAlignment="1">
      <alignment horizontal="right"/>
    </xf>
    <xf numFmtId="0" fontId="11" fillId="0" borderId="0" xfId="8" applyFont="1"/>
    <xf numFmtId="0" fontId="11" fillId="0" borderId="0" xfId="8" applyFont="1" applyAlignment="1">
      <alignment horizontal="left"/>
    </xf>
    <xf numFmtId="17" fontId="11" fillId="0" borderId="0" xfId="8" applyNumberFormat="1" applyFont="1"/>
    <xf numFmtId="0" fontId="10" fillId="0" borderId="0" xfId="8" applyAlignment="1">
      <alignment horizontal="center"/>
    </xf>
    <xf numFmtId="0" fontId="23" fillId="0" borderId="0" xfId="8" applyFont="1" applyAlignment="1">
      <alignment horizontal="center"/>
    </xf>
    <xf numFmtId="0" fontId="10" fillId="0" borderId="14" xfId="8" applyFill="1" applyBorder="1" applyAlignment="1">
      <alignment horizontal="center"/>
    </xf>
    <xf numFmtId="0" fontId="10" fillId="0" borderId="0" xfId="8" applyFill="1" applyBorder="1"/>
    <xf numFmtId="0" fontId="10" fillId="0" borderId="0" xfId="8" applyBorder="1" applyAlignment="1">
      <alignment horizontal="center"/>
    </xf>
    <xf numFmtId="170" fontId="10" fillId="0" borderId="0" xfId="8" applyNumberFormat="1" applyFont="1" applyBorder="1" applyAlignment="1">
      <alignment horizontal="center"/>
    </xf>
    <xf numFmtId="43" fontId="10" fillId="0" borderId="0" xfId="1" applyFont="1" applyFill="1" applyBorder="1"/>
    <xf numFmtId="43" fontId="10" fillId="0" borderId="13" xfId="1" applyFont="1" applyFill="1" applyBorder="1"/>
    <xf numFmtId="0" fontId="25" fillId="0" borderId="0" xfId="8" applyFont="1" applyAlignment="1">
      <alignment horizontal="center"/>
    </xf>
    <xf numFmtId="43" fontId="10" fillId="0" borderId="0" xfId="1" applyFont="1"/>
    <xf numFmtId="0" fontId="28" fillId="0" borderId="27" xfId="4" applyFont="1" applyBorder="1" applyAlignment="1">
      <alignment horizontal="center"/>
    </xf>
    <xf numFmtId="43" fontId="23" fillId="0" borderId="29" xfId="8" applyNumberFormat="1" applyFont="1" applyFill="1" applyBorder="1" applyAlignment="1">
      <alignment horizontal="center"/>
    </xf>
    <xf numFmtId="43" fontId="23" fillId="0" borderId="30" xfId="6" applyFont="1" applyFill="1" applyBorder="1" applyAlignment="1"/>
    <xf numFmtId="43" fontId="23" fillId="0" borderId="29" xfId="6" applyFont="1" applyFill="1" applyBorder="1" applyAlignment="1">
      <alignment horizontal="center"/>
    </xf>
    <xf numFmtId="0" fontId="23" fillId="0" borderId="28" xfId="8" applyFont="1" applyBorder="1" applyAlignment="1">
      <alignment vertical="center"/>
    </xf>
    <xf numFmtId="0" fontId="23" fillId="0" borderId="29" xfId="8" applyFont="1" applyFill="1" applyBorder="1" applyAlignment="1">
      <alignment horizontal="center"/>
    </xf>
    <xf numFmtId="0" fontId="25" fillId="0" borderId="29" xfId="8" applyFont="1" applyFill="1" applyBorder="1" applyAlignment="1">
      <alignment horizontal="center"/>
    </xf>
    <xf numFmtId="43" fontId="25" fillId="0" borderId="30" xfId="6" applyFont="1" applyFill="1" applyBorder="1" applyAlignment="1"/>
    <xf numFmtId="43" fontId="25" fillId="0" borderId="30" xfId="6" applyFont="1" applyFill="1" applyBorder="1" applyAlignment="1">
      <alignment horizontal="center"/>
    </xf>
    <xf numFmtId="0" fontId="23" fillId="0" borderId="28" xfId="8" applyFont="1" applyBorder="1" applyAlignment="1">
      <alignment horizontal="left" vertical="center"/>
    </xf>
    <xf numFmtId="0" fontId="25" fillId="3" borderId="28" xfId="8" applyFont="1" applyFill="1" applyBorder="1" applyAlignment="1">
      <alignment horizontal="left" vertical="center"/>
    </xf>
    <xf numFmtId="0" fontId="28" fillId="3" borderId="27" xfId="4" applyFont="1" applyFill="1" applyBorder="1" applyAlignment="1">
      <alignment horizontal="center"/>
    </xf>
    <xf numFmtId="0" fontId="25" fillId="3" borderId="29" xfId="8" applyFont="1" applyFill="1" applyBorder="1" applyAlignment="1">
      <alignment horizontal="center"/>
    </xf>
    <xf numFmtId="43" fontId="25" fillId="3" borderId="30" xfId="6" applyNumberFormat="1" applyFont="1" applyFill="1" applyBorder="1" applyAlignment="1"/>
    <xf numFmtId="0" fontId="10" fillId="0" borderId="0" xfId="8" applyFont="1"/>
    <xf numFmtId="0" fontId="22" fillId="0" borderId="0" xfId="8" applyFont="1" applyFill="1" applyBorder="1" applyAlignment="1">
      <alignment horizontal="left"/>
    </xf>
    <xf numFmtId="0" fontId="22" fillId="0" borderId="0" xfId="8" applyFont="1" applyFill="1" applyBorder="1" applyAlignment="1">
      <alignment horizontal="center"/>
    </xf>
    <xf numFmtId="0" fontId="22" fillId="0" borderId="0" xfId="8" applyFont="1" applyFill="1" applyBorder="1" applyAlignment="1">
      <alignment horizontal="right" vertical="center"/>
    </xf>
    <xf numFmtId="0" fontId="10" fillId="0" borderId="0" xfId="8" applyFont="1" applyAlignment="1">
      <alignment horizontal="right"/>
    </xf>
    <xf numFmtId="0" fontId="11" fillId="15" borderId="18" xfId="8" applyFont="1" applyFill="1" applyBorder="1" applyAlignment="1">
      <alignment horizontal="center" vertical="center"/>
    </xf>
    <xf numFmtId="0" fontId="11" fillId="15" borderId="20" xfId="8" applyFont="1" applyFill="1" applyBorder="1" applyAlignment="1">
      <alignment horizontal="center" vertical="center"/>
    </xf>
    <xf numFmtId="2" fontId="11" fillId="15" borderId="21" xfId="8" applyNumberFormat="1" applyFont="1" applyFill="1" applyBorder="1" applyAlignment="1">
      <alignment horizontal="center" vertical="center"/>
    </xf>
    <xf numFmtId="0" fontId="13" fillId="0" borderId="18" xfId="4" applyFont="1" applyFill="1" applyBorder="1" applyAlignment="1">
      <alignment horizontal="center" vertical="center"/>
    </xf>
    <xf numFmtId="166" fontId="13" fillId="0" borderId="20" xfId="5" applyFont="1" applyFill="1" applyBorder="1" applyAlignment="1" applyProtection="1">
      <alignment horizontal="center" vertical="center"/>
    </xf>
    <xf numFmtId="0" fontId="3" fillId="0" borderId="18" xfId="4" applyFont="1" applyFill="1" applyBorder="1" applyAlignment="1">
      <alignment horizontal="center" vertical="center"/>
    </xf>
    <xf numFmtId="2" fontId="21" fillId="0" borderId="0" xfId="8" applyNumberFormat="1" applyFont="1"/>
    <xf numFmtId="12" fontId="10" fillId="0" borderId="0" xfId="8" applyNumberFormat="1" applyFont="1"/>
    <xf numFmtId="2" fontId="10" fillId="0" borderId="0" xfId="8" applyNumberFormat="1" applyFont="1"/>
    <xf numFmtId="166" fontId="3" fillId="0" borderId="20" xfId="5" applyFont="1" applyFill="1" applyBorder="1" applyAlignment="1" applyProtection="1">
      <alignment horizontal="center" vertical="center"/>
    </xf>
    <xf numFmtId="171" fontId="10" fillId="0" borderId="0" xfId="8" applyNumberFormat="1" applyFont="1"/>
    <xf numFmtId="0" fontId="13" fillId="0" borderId="20" xfId="4" applyFont="1" applyFill="1" applyBorder="1" applyAlignment="1">
      <alignment horizontal="center" vertical="center"/>
    </xf>
    <xf numFmtId="9" fontId="10" fillId="0" borderId="0" xfId="3" applyFont="1"/>
    <xf numFmtId="10" fontId="10" fillId="0" borderId="20" xfId="7" applyNumberFormat="1" applyFont="1" applyFill="1" applyBorder="1" applyAlignment="1">
      <alignment horizontal="right" vertical="center"/>
    </xf>
    <xf numFmtId="0" fontId="31" fillId="0" borderId="0" xfId="4" applyFont="1"/>
    <xf numFmtId="0" fontId="3" fillId="3" borderId="18" xfId="4" applyFont="1" applyFill="1" applyBorder="1" applyAlignment="1">
      <alignment horizontal="center" vertical="center"/>
    </xf>
    <xf numFmtId="0" fontId="3" fillId="3" borderId="20" xfId="4" applyFont="1" applyFill="1" applyBorder="1" applyAlignment="1">
      <alignment vertical="center"/>
    </xf>
    <xf numFmtId="0" fontId="3" fillId="3" borderId="20" xfId="4" applyFont="1" applyFill="1" applyBorder="1" applyAlignment="1">
      <alignment horizontal="center" vertical="center"/>
    </xf>
    <xf numFmtId="166" fontId="3" fillId="3" borderId="20" xfId="5" applyFont="1" applyFill="1" applyBorder="1" applyAlignment="1" applyProtection="1">
      <alignment horizontal="center" vertical="center"/>
    </xf>
    <xf numFmtId="0" fontId="13" fillId="0" borderId="22" xfId="4" applyFont="1" applyBorder="1" applyAlignment="1">
      <alignment horizontal="center" vertical="center"/>
    </xf>
    <xf numFmtId="0" fontId="13" fillId="0" borderId="24" xfId="4" applyFont="1" applyFill="1" applyBorder="1" applyAlignment="1">
      <alignment vertical="center"/>
    </xf>
    <xf numFmtId="43" fontId="11" fillId="0" borderId="24" xfId="6" applyFont="1" applyFill="1" applyBorder="1" applyAlignment="1">
      <alignment horizontal="center" vertical="center"/>
    </xf>
    <xf numFmtId="166" fontId="13" fillId="0" borderId="24" xfId="5" applyFont="1" applyFill="1" applyBorder="1" applyAlignment="1" applyProtection="1">
      <alignment horizontal="center" vertical="center"/>
    </xf>
    <xf numFmtId="0" fontId="31" fillId="0" borderId="0" xfId="4" applyFont="1" applyFill="1" applyBorder="1"/>
    <xf numFmtId="0" fontId="10" fillId="0" borderId="0" xfId="8" applyFont="1" applyAlignment="1">
      <alignment vertical="center"/>
    </xf>
    <xf numFmtId="0" fontId="10" fillId="0" borderId="0" xfId="8" applyFont="1" applyFill="1" applyBorder="1"/>
    <xf numFmtId="0" fontId="10" fillId="0" borderId="0" xfId="8" applyFont="1" applyAlignment="1">
      <alignment horizontal="center"/>
    </xf>
    <xf numFmtId="43" fontId="10" fillId="0" borderId="53" xfId="6" applyBorder="1" applyAlignment="1">
      <alignment horizontal="center"/>
    </xf>
    <xf numFmtId="43" fontId="23" fillId="0" borderId="28" xfId="6" applyFont="1" applyBorder="1" applyAlignment="1">
      <alignment vertical="center"/>
    </xf>
    <xf numFmtId="43" fontId="10" fillId="0" borderId="27" xfId="6" applyBorder="1" applyAlignment="1">
      <alignment horizontal="center"/>
    </xf>
    <xf numFmtId="43" fontId="10" fillId="0" borderId="0" xfId="6" applyBorder="1" applyAlignment="1">
      <alignment horizontal="center"/>
    </xf>
    <xf numFmtId="43" fontId="10" fillId="0" borderId="0" xfId="8" applyNumberFormat="1" applyFont="1"/>
    <xf numFmtId="0" fontId="13" fillId="0" borderId="64" xfId="4" applyFont="1" applyFill="1" applyBorder="1" applyAlignment="1">
      <alignment horizontal="center" vertical="center"/>
    </xf>
    <xf numFmtId="0" fontId="13" fillId="0" borderId="65" xfId="4" applyFont="1" applyFill="1" applyBorder="1" applyAlignment="1">
      <alignment horizontal="center" vertical="center"/>
    </xf>
    <xf numFmtId="0" fontId="13" fillId="0" borderId="66" xfId="4" applyFont="1" applyFill="1" applyBorder="1" applyAlignment="1">
      <alignment horizontal="center" vertical="center"/>
    </xf>
    <xf numFmtId="0" fontId="13" fillId="0" borderId="66" xfId="4" applyFont="1" applyFill="1" applyBorder="1" applyAlignment="1">
      <alignment horizontal="center" vertical="center" wrapText="1"/>
    </xf>
    <xf numFmtId="49" fontId="13" fillId="0" borderId="67" xfId="4" applyNumberFormat="1" applyFont="1" applyFill="1" applyBorder="1" applyAlignment="1">
      <alignment horizontal="center" vertical="center" wrapText="1"/>
    </xf>
    <xf numFmtId="0" fontId="22" fillId="0" borderId="71" xfId="8" applyFont="1" applyBorder="1" applyAlignment="1">
      <alignment horizontal="center"/>
    </xf>
    <xf numFmtId="0" fontId="2" fillId="0" borderId="70" xfId="4" applyBorder="1" applyAlignment="1">
      <alignment horizontal="center"/>
    </xf>
    <xf numFmtId="0" fontId="22" fillId="0" borderId="72" xfId="8" applyFont="1" applyBorder="1" applyAlignment="1">
      <alignment horizontal="center"/>
    </xf>
    <xf numFmtId="0" fontId="22" fillId="0" borderId="73" xfId="8" applyFont="1" applyBorder="1" applyAlignment="1">
      <alignment horizontal="center"/>
    </xf>
    <xf numFmtId="165" fontId="15" fillId="13" borderId="76" xfId="4" applyNumberFormat="1" applyFont="1" applyFill="1" applyBorder="1" applyAlignment="1">
      <alignment horizontal="center" vertical="center"/>
    </xf>
    <xf numFmtId="0" fontId="29" fillId="14" borderId="77" xfId="8" applyFont="1" applyFill="1" applyBorder="1" applyAlignment="1">
      <alignment horizontal="right" vertical="center"/>
    </xf>
    <xf numFmtId="0" fontId="32" fillId="2" borderId="0" xfId="0" applyFont="1" applyFill="1" applyAlignment="1" applyProtection="1">
      <alignment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32" fillId="7" borderId="0" xfId="0" applyFont="1" applyFill="1" applyAlignment="1" applyProtection="1">
      <alignment vertical="center"/>
      <protection locked="0"/>
    </xf>
    <xf numFmtId="0" fontId="32" fillId="2" borderId="0" xfId="0" applyFont="1" applyFill="1" applyProtection="1">
      <protection locked="0"/>
    </xf>
    <xf numFmtId="0" fontId="32" fillId="0" borderId="0" xfId="0" applyFont="1" applyProtection="1">
      <protection locked="0"/>
    </xf>
    <xf numFmtId="0" fontId="2" fillId="0" borderId="0" xfId="4" applyFill="1" applyBorder="1"/>
    <xf numFmtId="0" fontId="18" fillId="0" borderId="0" xfId="4" applyFont="1" applyFill="1" applyBorder="1" applyAlignment="1">
      <alignment horizontal="center" vertical="center"/>
    </xf>
    <xf numFmtId="43" fontId="2" fillId="0" borderId="0" xfId="4" applyNumberFormat="1" applyFill="1" applyBorder="1"/>
    <xf numFmtId="0" fontId="2" fillId="0" borderId="0" xfId="4" applyFont="1" applyFill="1" applyBorder="1"/>
    <xf numFmtId="168" fontId="2" fillId="0" borderId="0" xfId="4" applyNumberFormat="1" applyFill="1" applyBorder="1"/>
    <xf numFmtId="0" fontId="18" fillId="0" borderId="0" xfId="4" applyFont="1" applyFill="1" applyBorder="1" applyAlignment="1">
      <alignment horizontal="right"/>
    </xf>
    <xf numFmtId="43" fontId="18" fillId="0" borderId="0" xfId="4" applyNumberFormat="1" applyFont="1" applyFill="1" applyBorder="1" applyAlignment="1">
      <alignment horizontal="right"/>
    </xf>
    <xf numFmtId="9" fontId="31" fillId="0" borderId="0" xfId="3" applyFont="1"/>
    <xf numFmtId="9" fontId="31" fillId="0" borderId="0" xfId="4" applyNumberFormat="1" applyFont="1"/>
    <xf numFmtId="43" fontId="10" fillId="0" borderId="0" xfId="6" applyFill="1" applyBorder="1" applyAlignment="1">
      <alignment horizontal="center"/>
    </xf>
    <xf numFmtId="0" fontId="10" fillId="0" borderId="0" xfId="8" applyFont="1" applyBorder="1"/>
    <xf numFmtId="0" fontId="32" fillId="7" borderId="0" xfId="0" applyFont="1" applyFill="1" applyProtection="1">
      <protection locked="0"/>
    </xf>
    <xf numFmtId="0" fontId="4" fillId="2" borderId="12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3" fillId="0" borderId="20" xfId="4" applyFont="1" applyFill="1" applyBorder="1" applyAlignment="1">
      <alignment horizontal="left" vertical="center"/>
    </xf>
    <xf numFmtId="43" fontId="13" fillId="0" borderId="21" xfId="4" applyNumberFormat="1" applyFont="1" applyFill="1" applyBorder="1" applyAlignment="1">
      <alignment vertical="center"/>
    </xf>
    <xf numFmtId="0" fontId="3" fillId="0" borderId="20" xfId="4" applyFont="1" applyFill="1" applyBorder="1" applyAlignment="1">
      <alignment horizontal="left" vertical="center"/>
    </xf>
    <xf numFmtId="167" fontId="3" fillId="0" borderId="21" xfId="4" applyNumberFormat="1" applyFont="1" applyFill="1" applyBorder="1" applyAlignment="1">
      <alignment vertical="center"/>
    </xf>
    <xf numFmtId="43" fontId="10" fillId="0" borderId="20" xfId="6" applyFont="1" applyFill="1" applyBorder="1" applyAlignment="1">
      <alignment vertical="center"/>
    </xf>
    <xf numFmtId="167" fontId="13" fillId="0" borderId="21" xfId="4" applyNumberFormat="1" applyFont="1" applyFill="1" applyBorder="1" applyAlignment="1">
      <alignment vertical="center"/>
    </xf>
    <xf numFmtId="4" fontId="10" fillId="0" borderId="20" xfId="5" applyNumberFormat="1" applyFont="1" applyFill="1" applyBorder="1" applyAlignment="1" applyProtection="1">
      <alignment horizontal="right" vertical="center"/>
    </xf>
    <xf numFmtId="0" fontId="13" fillId="0" borderId="20" xfId="4" applyFont="1" applyFill="1" applyBorder="1" applyAlignment="1">
      <alignment horizontal="right" vertical="center"/>
    </xf>
    <xf numFmtId="4" fontId="11" fillId="0" borderId="20" xfId="4" applyNumberFormat="1" applyFont="1" applyFill="1" applyBorder="1" applyAlignment="1">
      <alignment horizontal="right" vertical="center"/>
    </xf>
    <xf numFmtId="10" fontId="10" fillId="0" borderId="20" xfId="6" applyNumberFormat="1" applyFont="1" applyFill="1" applyBorder="1" applyAlignment="1">
      <alignment horizontal="right" vertical="center"/>
    </xf>
    <xf numFmtId="10" fontId="11" fillId="0" borderId="20" xfId="6" applyNumberFormat="1" applyFont="1" applyFill="1" applyBorder="1" applyAlignment="1">
      <alignment horizontal="right" vertical="center"/>
    </xf>
    <xf numFmtId="0" fontId="20" fillId="0" borderId="20" xfId="4" applyFont="1" applyFill="1" applyBorder="1" applyAlignment="1">
      <alignment vertical="center"/>
    </xf>
    <xf numFmtId="43" fontId="23" fillId="0" borderId="28" xfId="8" applyNumberFormat="1" applyFont="1" applyFill="1" applyBorder="1" applyAlignment="1">
      <alignment vertical="center"/>
    </xf>
    <xf numFmtId="0" fontId="28" fillId="0" borderId="27" xfId="4" applyFont="1" applyFill="1" applyBorder="1" applyAlignment="1">
      <alignment horizontal="center"/>
    </xf>
    <xf numFmtId="166" fontId="3" fillId="0" borderId="20" xfId="5" applyNumberFormat="1" applyFont="1" applyFill="1" applyBorder="1" applyAlignment="1" applyProtection="1">
      <alignment horizontal="center" vertical="center"/>
    </xf>
    <xf numFmtId="166" fontId="10" fillId="0" borderId="20" xfId="5" applyNumberFormat="1" applyFont="1" applyFill="1" applyBorder="1" applyAlignment="1" applyProtection="1">
      <alignment horizontal="center" vertical="center"/>
    </xf>
    <xf numFmtId="0" fontId="11" fillId="0" borderId="20" xfId="4" applyFont="1" applyFill="1" applyBorder="1" applyAlignment="1">
      <alignment horizontal="center" vertical="center"/>
    </xf>
    <xf numFmtId="43" fontId="11" fillId="0" borderId="30" xfId="6" applyFont="1" applyBorder="1" applyAlignment="1">
      <alignment horizontal="center"/>
    </xf>
    <xf numFmtId="43" fontId="11" fillId="0" borderId="97" xfId="6" applyFont="1" applyFill="1" applyBorder="1" applyAlignment="1">
      <alignment horizontal="center" vertical="center"/>
    </xf>
    <xf numFmtId="43" fontId="11" fillId="0" borderId="98" xfId="6" applyNumberFormat="1" applyFont="1" applyFill="1" applyBorder="1" applyAlignment="1">
      <alignment vertical="center"/>
    </xf>
    <xf numFmtId="43" fontId="10" fillId="0" borderId="28" xfId="6" applyFill="1" applyBorder="1" applyAlignment="1">
      <alignment horizontal="center"/>
    </xf>
    <xf numFmtId="43" fontId="10" fillId="0" borderId="33" xfId="6" applyFill="1" applyBorder="1" applyAlignment="1">
      <alignment horizontal="center"/>
    </xf>
    <xf numFmtId="0" fontId="29" fillId="0" borderId="0" xfId="8" applyFont="1" applyFill="1" applyBorder="1" applyAlignment="1">
      <alignment vertical="center"/>
    </xf>
    <xf numFmtId="43" fontId="10" fillId="0" borderId="87" xfId="6" applyBorder="1" applyAlignment="1">
      <alignment horizontal="center"/>
    </xf>
    <xf numFmtId="43" fontId="23" fillId="0" borderId="33" xfId="6" applyFont="1" applyBorder="1" applyAlignment="1">
      <alignment vertical="center"/>
    </xf>
    <xf numFmtId="43" fontId="10" fillId="0" borderId="32" xfId="6" applyBorder="1" applyAlignment="1">
      <alignment horizontal="center"/>
    </xf>
    <xf numFmtId="43" fontId="11" fillId="0" borderId="29" xfId="6" applyFont="1" applyBorder="1" applyAlignment="1">
      <alignment horizontal="center"/>
    </xf>
    <xf numFmtId="10" fontId="10" fillId="0" borderId="0" xfId="3" applyNumberFormat="1" applyFont="1" applyBorder="1"/>
    <xf numFmtId="43" fontId="10" fillId="0" borderId="0" xfId="8" applyNumberFormat="1" applyFont="1" applyBorder="1" applyAlignment="1">
      <alignment vertical="center"/>
    </xf>
    <xf numFmtId="0" fontId="36" fillId="10" borderId="10" xfId="0" applyFont="1" applyFill="1" applyBorder="1" applyAlignment="1" applyProtection="1">
      <alignment horizontal="right" vertical="center"/>
      <protection locked="0"/>
    </xf>
    <xf numFmtId="0" fontId="36" fillId="10" borderId="11" xfId="0" applyFont="1" applyFill="1" applyBorder="1" applyAlignment="1" applyProtection="1">
      <alignment horizontal="right" vertical="center"/>
      <protection locked="0"/>
    </xf>
    <xf numFmtId="0" fontId="36" fillId="10" borderId="11" xfId="0" applyFont="1" applyFill="1" applyBorder="1" applyAlignment="1" applyProtection="1">
      <alignment horizontal="center" vertical="center"/>
      <protection locked="0"/>
    </xf>
    <xf numFmtId="0" fontId="10" fillId="2" borderId="0" xfId="8" applyFill="1"/>
    <xf numFmtId="0" fontId="26" fillId="2" borderId="38" xfId="0" applyFont="1" applyFill="1" applyBorder="1" applyAlignment="1">
      <alignment horizontal="justify" vertical="center" wrapText="1"/>
    </xf>
    <xf numFmtId="164" fontId="26" fillId="2" borderId="2" xfId="0" applyNumberFormat="1" applyFont="1" applyFill="1" applyBorder="1" applyAlignment="1">
      <alignment horizontal="center" vertical="center" wrapText="1"/>
    </xf>
    <xf numFmtId="164" fontId="26" fillId="2" borderId="39" xfId="0" applyNumberFormat="1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justify" vertical="center" wrapText="1"/>
    </xf>
    <xf numFmtId="0" fontId="26" fillId="2" borderId="41" xfId="0" applyFont="1" applyFill="1" applyBorder="1" applyAlignment="1">
      <alignment horizontal="justify" vertical="center" wrapText="1"/>
    </xf>
    <xf numFmtId="164" fontId="26" fillId="2" borderId="42" xfId="0" applyNumberFormat="1" applyFont="1" applyFill="1" applyBorder="1" applyAlignment="1">
      <alignment horizontal="center" vertical="center" wrapText="1"/>
    </xf>
    <xf numFmtId="164" fontId="26" fillId="2" borderId="43" xfId="0" applyNumberFormat="1" applyFont="1" applyFill="1" applyBorder="1" applyAlignment="1">
      <alignment horizontal="center" vertical="center" wrapText="1"/>
    </xf>
    <xf numFmtId="4" fontId="10" fillId="0" borderId="20" xfId="6" applyNumberFormat="1" applyFont="1" applyFill="1" applyBorder="1" applyAlignment="1">
      <alignment horizontal="center" vertical="center"/>
    </xf>
    <xf numFmtId="10" fontId="10" fillId="0" borderId="20" xfId="7" applyNumberFormat="1" applyFont="1" applyFill="1" applyBorder="1" applyAlignment="1">
      <alignment horizontal="center" vertical="center"/>
    </xf>
    <xf numFmtId="164" fontId="32" fillId="7" borderId="0" xfId="0" applyNumberFormat="1" applyFont="1" applyFill="1" applyAlignment="1" applyProtection="1">
      <alignment vertical="center"/>
      <protection locked="0"/>
    </xf>
    <xf numFmtId="0" fontId="9" fillId="0" borderId="0" xfId="8" applyFont="1" applyAlignment="1">
      <alignment horizontal="center"/>
    </xf>
    <xf numFmtId="0" fontId="30" fillId="0" borderId="106" xfId="8" applyFont="1" applyBorder="1" applyAlignment="1">
      <alignment horizontal="center" vertical="center"/>
    </xf>
    <xf numFmtId="0" fontId="30" fillId="0" borderId="106" xfId="8" applyFont="1" applyBorder="1" applyAlignment="1">
      <alignment horizontal="center" vertical="center" wrapText="1"/>
    </xf>
    <xf numFmtId="43" fontId="30" fillId="0" borderId="106" xfId="1" applyFont="1" applyBorder="1" applyAlignment="1">
      <alignment horizontal="center" vertical="center"/>
    </xf>
    <xf numFmtId="2" fontId="30" fillId="0" borderId="106" xfId="8" applyNumberFormat="1" applyFont="1" applyBorder="1" applyAlignment="1">
      <alignment horizontal="center" vertical="center"/>
    </xf>
    <xf numFmtId="0" fontId="10" fillId="0" borderId="106" xfId="8" applyFont="1" applyBorder="1" applyAlignment="1">
      <alignment horizontal="center" vertical="center"/>
    </xf>
    <xf numFmtId="12" fontId="10" fillId="0" borderId="106" xfId="1" applyNumberFormat="1" applyFont="1" applyBorder="1" applyAlignment="1">
      <alignment horizontal="center" vertical="center"/>
    </xf>
    <xf numFmtId="0" fontId="11" fillId="0" borderId="110" xfId="8" applyFont="1" applyBorder="1" applyAlignment="1">
      <alignment horizontal="center"/>
    </xf>
    <xf numFmtId="0" fontId="11" fillId="0" borderId="110" xfId="8" applyFont="1" applyBorder="1"/>
    <xf numFmtId="0" fontId="10" fillId="0" borderId="110" xfId="8" applyBorder="1"/>
    <xf numFmtId="0" fontId="10" fillId="0" borderId="110" xfId="8" applyBorder="1" applyAlignment="1">
      <alignment horizontal="center"/>
    </xf>
    <xf numFmtId="170" fontId="10" fillId="0" borderId="110" xfId="8" applyNumberFormat="1" applyFont="1" applyBorder="1" applyAlignment="1">
      <alignment horizontal="center"/>
    </xf>
    <xf numFmtId="43" fontId="10" fillId="9" borderId="110" xfId="1" applyFont="1" applyFill="1" applyBorder="1"/>
    <xf numFmtId="43" fontId="10" fillId="0" borderId="110" xfId="1" applyFont="1" applyBorder="1"/>
    <xf numFmtId="0" fontId="10" fillId="9" borderId="110" xfId="8" applyFill="1" applyBorder="1"/>
    <xf numFmtId="0" fontId="10" fillId="0" borderId="110" xfId="8" applyFill="1" applyBorder="1"/>
    <xf numFmtId="0" fontId="10" fillId="0" borderId="110" xfId="8" applyFill="1" applyBorder="1" applyAlignment="1">
      <alignment horizontal="center"/>
    </xf>
    <xf numFmtId="43" fontId="10" fillId="0" borderId="110" xfId="1" applyFont="1" applyFill="1" applyBorder="1"/>
    <xf numFmtId="0" fontId="11" fillId="0" borderId="110" xfId="8" applyFont="1" applyFill="1" applyBorder="1" applyAlignment="1">
      <alignment horizontal="center"/>
    </xf>
    <xf numFmtId="0" fontId="11" fillId="0" borderId="110" xfId="8" applyFont="1" applyFill="1" applyBorder="1"/>
    <xf numFmtId="0" fontId="10" fillId="0" borderId="107" xfId="8" applyFill="1" applyBorder="1" applyAlignment="1">
      <alignment horizontal="center"/>
    </xf>
    <xf numFmtId="0" fontId="10" fillId="0" borderId="108" xfId="8" applyFill="1" applyBorder="1"/>
    <xf numFmtId="0" fontId="10" fillId="0" borderId="109" xfId="8" applyFill="1" applyBorder="1"/>
    <xf numFmtId="43" fontId="11" fillId="0" borderId="110" xfId="1" applyFont="1" applyFill="1" applyBorder="1"/>
    <xf numFmtId="43" fontId="10" fillId="4" borderId="110" xfId="1" applyFont="1" applyFill="1" applyBorder="1"/>
    <xf numFmtId="0" fontId="10" fillId="0" borderId="110" xfId="8" applyFont="1" applyFill="1" applyBorder="1" applyAlignment="1">
      <alignment horizontal="center"/>
    </xf>
    <xf numFmtId="3" fontId="10" fillId="0" borderId="110" xfId="8" applyNumberFormat="1" applyFont="1" applyFill="1" applyBorder="1" applyAlignment="1">
      <alignment horizontal="center"/>
    </xf>
    <xf numFmtId="0" fontId="10" fillId="0" borderId="107" xfId="8" applyFill="1" applyBorder="1"/>
    <xf numFmtId="43" fontId="10" fillId="9" borderId="109" xfId="1" applyFont="1" applyFill="1" applyBorder="1"/>
    <xf numFmtId="0" fontId="10" fillId="0" borderId="108" xfId="8" applyFill="1" applyBorder="1" applyAlignment="1">
      <alignment horizontal="center"/>
    </xf>
    <xf numFmtId="3" fontId="10" fillId="0" borderId="108" xfId="8" applyNumberFormat="1" applyFont="1" applyFill="1" applyBorder="1" applyAlignment="1">
      <alignment horizontal="center"/>
    </xf>
    <xf numFmtId="43" fontId="10" fillId="0" borderId="109" xfId="1" applyFont="1" applyFill="1" applyBorder="1"/>
    <xf numFmtId="0" fontId="11" fillId="10" borderId="110" xfId="8" applyFont="1" applyFill="1" applyBorder="1" applyAlignment="1">
      <alignment horizontal="center" vertical="center" wrapText="1"/>
    </xf>
    <xf numFmtId="0" fontId="11" fillId="10" borderId="110" xfId="8" applyFont="1" applyFill="1" applyBorder="1" applyAlignment="1">
      <alignment horizontal="center" vertical="center"/>
    </xf>
    <xf numFmtId="164" fontId="11" fillId="2" borderId="110" xfId="8" applyNumberFormat="1" applyFont="1" applyFill="1" applyBorder="1" applyAlignment="1">
      <alignment horizontal="center" vertical="center"/>
    </xf>
    <xf numFmtId="164" fontId="11" fillId="10" borderId="110" xfId="8" applyNumberFormat="1" applyFont="1" applyFill="1" applyBorder="1" applyAlignment="1">
      <alignment horizontal="center" vertical="center"/>
    </xf>
    <xf numFmtId="0" fontId="6" fillId="10" borderId="110" xfId="0" applyFont="1" applyFill="1" applyBorder="1" applyAlignment="1" applyProtection="1">
      <alignment horizontal="center" vertical="center" wrapText="1"/>
      <protection locked="0"/>
    </xf>
    <xf numFmtId="0" fontId="8" fillId="0" borderId="110" xfId="0" applyFont="1" applyBorder="1" applyProtection="1">
      <protection locked="0"/>
    </xf>
    <xf numFmtId="2" fontId="7" fillId="0" borderId="110" xfId="1" applyNumberFormat="1" applyFont="1" applyFill="1" applyBorder="1" applyAlignment="1" applyProtection="1">
      <alignment horizontal="center" vertical="center"/>
      <protection locked="0"/>
    </xf>
    <xf numFmtId="0" fontId="37" fillId="0" borderId="0" xfId="10" applyAlignment="1">
      <alignment horizontal="left" vertical="top"/>
    </xf>
    <xf numFmtId="0" fontId="42" fillId="0" borderId="37" xfId="10" applyFont="1" applyBorder="1" applyAlignment="1">
      <alignment horizontal="left" vertical="top" wrapText="1"/>
    </xf>
    <xf numFmtId="172" fontId="44" fillId="0" borderId="37" xfId="10" applyNumberFormat="1" applyFont="1" applyBorder="1" applyAlignment="1">
      <alignment horizontal="left" vertical="top" wrapText="1"/>
    </xf>
    <xf numFmtId="0" fontId="42" fillId="0" borderId="0" xfId="10" applyFont="1" applyAlignment="1">
      <alignment horizontal="left" vertical="top"/>
    </xf>
    <xf numFmtId="0" fontId="43" fillId="0" borderId="37" xfId="10" applyFont="1" applyBorder="1" applyAlignment="1">
      <alignment horizontal="left" vertical="top" wrapText="1"/>
    </xf>
    <xf numFmtId="0" fontId="9" fillId="0" borderId="0" xfId="8" applyFont="1" applyAlignment="1">
      <alignment horizontal="center"/>
    </xf>
    <xf numFmtId="43" fontId="2" fillId="0" borderId="0" xfId="4" applyNumberFormat="1" applyBorder="1"/>
    <xf numFmtId="10" fontId="10" fillId="0" borderId="120" xfId="7" applyNumberFormat="1" applyFont="1" applyFill="1" applyBorder="1" applyAlignment="1">
      <alignment horizontal="right" vertical="center"/>
    </xf>
    <xf numFmtId="43" fontId="10" fillId="0" borderId="120" xfId="6" applyFont="1" applyFill="1" applyBorder="1" applyAlignment="1">
      <alignment horizontal="center" vertical="center"/>
    </xf>
    <xf numFmtId="0" fontId="13" fillId="8" borderId="121" xfId="4" applyFont="1" applyFill="1" applyBorder="1" applyAlignment="1">
      <alignment horizontal="center" vertical="center"/>
    </xf>
    <xf numFmtId="43" fontId="23" fillId="0" borderId="28" xfId="6" applyFont="1" applyFill="1" applyBorder="1" applyAlignment="1">
      <alignment horizontal="center"/>
    </xf>
    <xf numFmtId="0" fontId="25" fillId="0" borderId="28" xfId="8" applyFont="1" applyFill="1" applyBorder="1" applyAlignment="1">
      <alignment horizontal="center"/>
    </xf>
    <xf numFmtId="0" fontId="23" fillId="0" borderId="28" xfId="8" applyFont="1" applyFill="1" applyBorder="1" applyAlignment="1">
      <alignment horizontal="center"/>
    </xf>
    <xf numFmtId="0" fontId="25" fillId="3" borderId="28" xfId="8" applyFont="1" applyFill="1" applyBorder="1" applyAlignment="1">
      <alignment horizontal="center"/>
    </xf>
    <xf numFmtId="0" fontId="21" fillId="0" borderId="33" xfId="8" applyFont="1" applyBorder="1" applyAlignment="1">
      <alignment horizontal="center"/>
    </xf>
    <xf numFmtId="0" fontId="13" fillId="0" borderId="126" xfId="4" applyFont="1" applyFill="1" applyBorder="1" applyAlignment="1">
      <alignment horizontal="center" vertical="center" wrapText="1"/>
    </xf>
    <xf numFmtId="0" fontId="22" fillId="0" borderId="128" xfId="8" applyFont="1" applyBorder="1" applyAlignment="1">
      <alignment horizontal="center"/>
    </xf>
    <xf numFmtId="0" fontId="11" fillId="0" borderId="100" xfId="8" applyFont="1" applyBorder="1" applyAlignment="1">
      <alignment horizontal="center" vertical="center"/>
    </xf>
    <xf numFmtId="0" fontId="10" fillId="0" borderId="100" xfId="8" applyBorder="1"/>
    <xf numFmtId="170" fontId="10" fillId="0" borderId="100" xfId="8" applyNumberFormat="1" applyFont="1" applyBorder="1" applyAlignment="1">
      <alignment horizontal="center"/>
    </xf>
    <xf numFmtId="0" fontId="11" fillId="0" borderId="100" xfId="8" applyFont="1" applyFill="1" applyBorder="1"/>
    <xf numFmtId="0" fontId="10" fillId="0" borderId="129" xfId="8" applyFill="1" applyBorder="1"/>
    <xf numFmtId="0" fontId="10" fillId="0" borderId="100" xfId="8" applyFill="1" applyBorder="1" applyAlignment="1">
      <alignment horizontal="center"/>
    </xf>
    <xf numFmtId="0" fontId="10" fillId="0" borderId="100" xfId="8" applyFont="1" applyFill="1" applyBorder="1" applyAlignment="1">
      <alignment horizontal="center"/>
    </xf>
    <xf numFmtId="3" fontId="10" fillId="0" borderId="100" xfId="8" applyNumberFormat="1" applyFont="1" applyFill="1" applyBorder="1" applyAlignment="1">
      <alignment horizontal="center"/>
    </xf>
    <xf numFmtId="3" fontId="10" fillId="0" borderId="130" xfId="8" applyNumberFormat="1" applyFont="1" applyFill="1" applyBorder="1" applyAlignment="1">
      <alignment horizontal="center"/>
    </xf>
    <xf numFmtId="3" fontId="10" fillId="0" borderId="129" xfId="8" applyNumberFormat="1" applyFont="1" applyFill="1" applyBorder="1" applyAlignment="1">
      <alignment horizontal="center"/>
    </xf>
    <xf numFmtId="0" fontId="11" fillId="10" borderId="100" xfId="8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164" fontId="26" fillId="2" borderId="45" xfId="0" applyNumberFormat="1" applyFont="1" applyFill="1" applyBorder="1" applyAlignment="1">
      <alignment horizontal="center" vertical="center" wrapText="1"/>
    </xf>
    <xf numFmtId="0" fontId="13" fillId="0" borderId="120" xfId="4" applyFont="1" applyBorder="1" applyAlignment="1">
      <alignment horizontal="center" vertical="center"/>
    </xf>
    <xf numFmtId="0" fontId="11" fillId="0" borderId="120" xfId="4" applyFont="1" applyFill="1" applyBorder="1" applyAlignment="1">
      <alignment horizontal="center" vertical="center"/>
    </xf>
    <xf numFmtId="4" fontId="10" fillId="0" borderId="120" xfId="5" applyNumberFormat="1" applyFont="1" applyFill="1" applyBorder="1" applyAlignment="1" applyProtection="1">
      <alignment horizontal="center" vertical="center"/>
    </xf>
    <xf numFmtId="4" fontId="11" fillId="0" borderId="120" xfId="4" applyNumberFormat="1" applyFont="1" applyFill="1" applyBorder="1" applyAlignment="1">
      <alignment horizontal="center" vertical="center"/>
    </xf>
    <xf numFmtId="10" fontId="10" fillId="0" borderId="120" xfId="7" applyNumberFormat="1" applyFont="1" applyFill="1" applyBorder="1" applyAlignment="1">
      <alignment horizontal="center" vertical="center"/>
    </xf>
    <xf numFmtId="10" fontId="10" fillId="0" borderId="120" xfId="6" applyNumberFormat="1" applyFont="1" applyFill="1" applyBorder="1" applyAlignment="1">
      <alignment horizontal="center" vertical="center"/>
    </xf>
    <xf numFmtId="10" fontId="11" fillId="0" borderId="120" xfId="6" applyNumberFormat="1" applyFont="1" applyFill="1" applyBorder="1" applyAlignment="1">
      <alignment horizontal="center" vertical="center"/>
    </xf>
    <xf numFmtId="4" fontId="10" fillId="0" borderId="120" xfId="6" applyNumberFormat="1" applyFont="1" applyFill="1" applyBorder="1" applyAlignment="1">
      <alignment horizontal="center" vertical="center"/>
    </xf>
    <xf numFmtId="4" fontId="11" fillId="0" borderId="120" xfId="6" applyNumberFormat="1" applyFont="1" applyFill="1" applyBorder="1" applyAlignment="1">
      <alignment horizontal="center" vertical="center"/>
    </xf>
    <xf numFmtId="2" fontId="11" fillId="0" borderId="120" xfId="6" applyNumberFormat="1" applyFont="1" applyFill="1" applyBorder="1" applyAlignment="1">
      <alignment horizontal="center" vertical="center"/>
    </xf>
    <xf numFmtId="43" fontId="10" fillId="0" borderId="120" xfId="1" applyFont="1" applyFill="1" applyBorder="1" applyAlignment="1">
      <alignment horizontal="right" vertical="center"/>
    </xf>
    <xf numFmtId="43" fontId="11" fillId="0" borderId="120" xfId="1" applyFont="1" applyFill="1" applyBorder="1" applyAlignment="1">
      <alignment horizontal="right" vertical="center"/>
    </xf>
    <xf numFmtId="43" fontId="10" fillId="0" borderId="120" xfId="1" applyFont="1" applyFill="1" applyBorder="1" applyAlignment="1">
      <alignment horizontal="center" vertical="center"/>
    </xf>
    <xf numFmtId="43" fontId="11" fillId="0" borderId="120" xfId="1" applyFont="1" applyFill="1" applyBorder="1" applyAlignment="1">
      <alignment vertical="center"/>
    </xf>
    <xf numFmtId="43" fontId="10" fillId="0" borderId="120" xfId="1" applyFont="1" applyFill="1" applyBorder="1" applyAlignment="1" applyProtection="1">
      <alignment horizontal="right" vertical="center"/>
    </xf>
    <xf numFmtId="43" fontId="11" fillId="0" borderId="120" xfId="1" applyFont="1" applyFill="1" applyBorder="1" applyAlignment="1" applyProtection="1">
      <alignment horizontal="right" vertical="center"/>
    </xf>
    <xf numFmtId="0" fontId="22" fillId="12" borderId="131" xfId="8" applyFont="1" applyFill="1" applyBorder="1" applyAlignment="1">
      <alignment horizontal="left" vertical="center" wrapText="1"/>
    </xf>
    <xf numFmtId="0" fontId="11" fillId="15" borderId="120" xfId="8" applyFont="1" applyFill="1" applyBorder="1" applyAlignment="1">
      <alignment horizontal="center" vertical="center"/>
    </xf>
    <xf numFmtId="43" fontId="11" fillId="0" borderId="120" xfId="6" applyFont="1" applyFill="1" applyBorder="1" applyAlignment="1">
      <alignment horizontal="center" vertical="center"/>
    </xf>
    <xf numFmtId="4" fontId="10" fillId="3" borderId="120" xfId="6" applyNumberFormat="1" applyFont="1" applyFill="1" applyBorder="1" applyAlignment="1">
      <alignment horizontal="center" vertical="center"/>
    </xf>
    <xf numFmtId="167" fontId="11" fillId="0" borderId="121" xfId="7" applyNumberFormat="1" applyFont="1" applyFill="1" applyBorder="1" applyAlignment="1">
      <alignment horizontal="right" vertical="center"/>
    </xf>
    <xf numFmtId="43" fontId="11" fillId="0" borderId="28" xfId="6" applyFont="1" applyBorder="1" applyAlignment="1">
      <alignment horizontal="center"/>
    </xf>
    <xf numFmtId="43" fontId="11" fillId="0" borderId="11" xfId="6" applyFont="1" applyFill="1" applyBorder="1" applyAlignment="1">
      <alignment horizontal="center" vertical="center"/>
    </xf>
    <xf numFmtId="10" fontId="10" fillId="0" borderId="0" xfId="3" applyNumberFormat="1" applyFont="1"/>
    <xf numFmtId="0" fontId="52" fillId="0" borderId="0" xfId="0" applyFont="1" applyFill="1" applyProtection="1">
      <protection locked="0"/>
    </xf>
    <xf numFmtId="0" fontId="52" fillId="0" borderId="0" xfId="0" applyFont="1" applyProtection="1">
      <protection locked="0"/>
    </xf>
    <xf numFmtId="0" fontId="51" fillId="0" borderId="0" xfId="0" applyFont="1" applyProtection="1">
      <protection locked="0"/>
    </xf>
    <xf numFmtId="0" fontId="3" fillId="0" borderId="20" xfId="4" applyFont="1" applyBorder="1" applyAlignment="1">
      <alignment horizontal="center" vertical="center"/>
    </xf>
    <xf numFmtId="174" fontId="8" fillId="10" borderId="137" xfId="0" applyNumberFormat="1" applyFont="1" applyFill="1" applyBorder="1" applyAlignment="1" applyProtection="1">
      <alignment horizontal="center" vertical="center"/>
      <protection locked="0"/>
    </xf>
    <xf numFmtId="0" fontId="56" fillId="0" borderId="8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>
      <alignment horizontal="center" vertical="center"/>
    </xf>
    <xf numFmtId="43" fontId="8" fillId="10" borderId="8" xfId="0" applyNumberFormat="1" applyFont="1" applyFill="1" applyBorder="1" applyAlignment="1" applyProtection="1">
      <alignment horizontal="center" vertical="center"/>
      <protection locked="0"/>
    </xf>
    <xf numFmtId="174" fontId="8" fillId="10" borderId="138" xfId="0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4" fontId="4" fillId="0" borderId="0" xfId="0" applyNumberFormat="1" applyFont="1" applyProtection="1">
      <protection locked="0"/>
    </xf>
    <xf numFmtId="0" fontId="56" fillId="0" borderId="8" xfId="0" applyFont="1" applyBorder="1" applyAlignment="1" applyProtection="1">
      <alignment vertical="center" wrapText="1"/>
      <protection locked="0"/>
    </xf>
    <xf numFmtId="4" fontId="8" fillId="2" borderId="8" xfId="1" applyNumberFormat="1" applyFont="1" applyFill="1" applyBorder="1" applyAlignment="1" applyProtection="1">
      <alignment horizontal="center" vertical="center"/>
      <protection locked="0"/>
    </xf>
    <xf numFmtId="0" fontId="10" fillId="0" borderId="20" xfId="4" applyFont="1" applyBorder="1" applyAlignment="1">
      <alignment vertical="center"/>
    </xf>
    <xf numFmtId="0" fontId="10" fillId="0" borderId="20" xfId="4" applyFont="1" applyBorder="1" applyAlignment="1">
      <alignment horizontal="center" vertical="center"/>
    </xf>
    <xf numFmtId="166" fontId="10" fillId="0" borderId="20" xfId="5" applyFont="1" applyBorder="1" applyAlignment="1">
      <alignment horizontal="center" vertical="center"/>
    </xf>
    <xf numFmtId="0" fontId="11" fillId="0" borderId="20" xfId="4" applyFont="1" applyBorder="1" applyAlignment="1">
      <alignment vertical="center"/>
    </xf>
    <xf numFmtId="4" fontId="10" fillId="0" borderId="20" xfId="6" applyNumberFormat="1" applyFill="1" applyBorder="1" applyAlignment="1">
      <alignment horizontal="center" vertical="center"/>
    </xf>
    <xf numFmtId="0" fontId="54" fillId="0" borderId="8" xfId="0" applyFont="1" applyBorder="1" applyAlignment="1" applyProtection="1">
      <alignment horizontal="center" vertical="center" wrapText="1"/>
      <protection locked="0"/>
    </xf>
    <xf numFmtId="43" fontId="4" fillId="0" borderId="0" xfId="0" applyNumberFormat="1" applyFont="1" applyProtection="1">
      <protection locked="0"/>
    </xf>
    <xf numFmtId="0" fontId="57" fillId="0" borderId="0" xfId="0" applyFont="1" applyAlignment="1">
      <alignment vertical="center"/>
    </xf>
    <xf numFmtId="0" fontId="58" fillId="0" borderId="0" xfId="0" applyFont="1"/>
    <xf numFmtId="0" fontId="57" fillId="0" borderId="0" xfId="0" applyFont="1"/>
    <xf numFmtId="0" fontId="57" fillId="0" borderId="0" xfId="0" applyFont="1" applyAlignment="1">
      <alignment horizontal="left" vertical="center"/>
    </xf>
    <xf numFmtId="0" fontId="61" fillId="0" borderId="0" xfId="0" applyFont="1" applyAlignment="1">
      <alignment vertical="center"/>
    </xf>
    <xf numFmtId="0" fontId="62" fillId="0" borderId="0" xfId="0" applyFont="1" applyAlignment="1">
      <alignment horizontal="justify" vertical="center"/>
    </xf>
    <xf numFmtId="0" fontId="64" fillId="0" borderId="0" xfId="0" applyFont="1" applyAlignment="1">
      <alignment vertical="center" wrapText="1"/>
    </xf>
    <xf numFmtId="0" fontId="64" fillId="0" borderId="110" xfId="0" applyFont="1" applyBorder="1" applyAlignment="1">
      <alignment horizontal="justify" vertical="center" wrapText="1"/>
    </xf>
    <xf numFmtId="0" fontId="65" fillId="0" borderId="0" xfId="0" applyFont="1" applyAlignment="1">
      <alignment horizontal="justify" vertical="center"/>
    </xf>
    <xf numFmtId="0" fontId="67" fillId="0" borderId="0" xfId="0" applyFont="1"/>
    <xf numFmtId="0" fontId="64" fillId="0" borderId="110" xfId="0" applyFont="1" applyBorder="1" applyAlignment="1">
      <alignment horizontal="center" vertical="center" wrapText="1"/>
    </xf>
    <xf numFmtId="0" fontId="64" fillId="0" borderId="140" xfId="0" applyFont="1" applyBorder="1" applyAlignment="1">
      <alignment horizontal="center" vertical="center" wrapText="1"/>
    </xf>
    <xf numFmtId="3" fontId="64" fillId="0" borderId="140" xfId="0" applyNumberFormat="1" applyFont="1" applyBorder="1" applyAlignment="1">
      <alignment horizontal="center" vertical="center" wrapText="1"/>
    </xf>
    <xf numFmtId="44" fontId="64" fillId="0" borderId="140" xfId="2" applyFont="1" applyBorder="1" applyAlignment="1">
      <alignment horizontal="left" vertical="center" wrapText="1"/>
    </xf>
    <xf numFmtId="44" fontId="64" fillId="0" borderId="140" xfId="0" applyNumberFormat="1" applyFont="1" applyBorder="1" applyAlignment="1">
      <alignment horizontal="left" vertical="center" wrapText="1"/>
    </xf>
    <xf numFmtId="0" fontId="64" fillId="0" borderId="140" xfId="0" applyFont="1" applyBorder="1" applyAlignment="1">
      <alignment horizontal="left" vertical="center" wrapText="1"/>
    </xf>
    <xf numFmtId="44" fontId="64" fillId="0" borderId="110" xfId="2" applyFont="1" applyBorder="1" applyAlignment="1">
      <alignment horizontal="right" vertical="center" wrapText="1"/>
    </xf>
    <xf numFmtId="44" fontId="64" fillId="0" borderId="110" xfId="2" applyFont="1" applyBorder="1" applyAlignment="1">
      <alignment horizontal="center" vertical="center" wrapText="1"/>
    </xf>
    <xf numFmtId="0" fontId="63" fillId="0" borderId="110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4" fillId="0" borderId="0" xfId="0" applyFont="1" applyAlignment="1">
      <alignment horizontal="justify" vertical="center" wrapText="1"/>
    </xf>
    <xf numFmtId="0" fontId="58" fillId="0" borderId="0" xfId="0" applyFont="1" applyAlignment="1"/>
    <xf numFmtId="44" fontId="10" fillId="0" borderId="20" xfId="2" applyFont="1" applyFill="1" applyBorder="1" applyAlignment="1">
      <alignment horizontal="center" vertical="center"/>
    </xf>
    <xf numFmtId="44" fontId="10" fillId="0" borderId="20" xfId="2" applyFont="1" applyFill="1" applyBorder="1" applyAlignment="1">
      <alignment horizontal="right" vertical="center"/>
    </xf>
    <xf numFmtId="44" fontId="13" fillId="0" borderId="21" xfId="2" applyFont="1" applyBorder="1" applyAlignment="1">
      <alignment vertical="center"/>
    </xf>
    <xf numFmtId="44" fontId="3" fillId="0" borderId="21" xfId="2" applyFont="1" applyBorder="1" applyAlignment="1">
      <alignment vertical="center"/>
    </xf>
    <xf numFmtId="44" fontId="3" fillId="3" borderId="21" xfId="2" applyFont="1" applyFill="1" applyBorder="1" applyAlignment="1">
      <alignment vertical="center"/>
    </xf>
    <xf numFmtId="44" fontId="13" fillId="0" borderId="25" xfId="2" applyFont="1" applyBorder="1" applyAlignment="1">
      <alignment vertical="center"/>
    </xf>
    <xf numFmtId="44" fontId="10" fillId="3" borderId="20" xfId="2" applyFont="1" applyFill="1" applyBorder="1" applyAlignment="1">
      <alignment horizontal="center" vertical="center"/>
    </xf>
    <xf numFmtId="44" fontId="11" fillId="0" borderId="24" xfId="2" applyFont="1" applyFill="1" applyBorder="1" applyAlignment="1">
      <alignment horizontal="right" vertical="center"/>
    </xf>
    <xf numFmtId="44" fontId="11" fillId="0" borderId="120" xfId="2" applyFont="1" applyFill="1" applyBorder="1" applyAlignment="1">
      <alignment horizontal="center" vertical="center"/>
    </xf>
    <xf numFmtId="44" fontId="10" fillId="0" borderId="120" xfId="2" applyFont="1" applyFill="1" applyBorder="1" applyAlignment="1">
      <alignment horizontal="center" vertical="center"/>
    </xf>
    <xf numFmtId="44" fontId="10" fillId="0" borderId="21" xfId="2" applyFont="1" applyFill="1" applyBorder="1" applyAlignment="1">
      <alignment vertical="center"/>
    </xf>
    <xf numFmtId="44" fontId="11" fillId="0" borderId="21" xfId="2" applyFont="1" applyFill="1" applyBorder="1" applyAlignment="1">
      <alignment vertical="center"/>
    </xf>
    <xf numFmtId="44" fontId="10" fillId="3" borderId="120" xfId="2" applyFont="1" applyFill="1" applyBorder="1" applyAlignment="1">
      <alignment horizontal="center" vertical="center"/>
    </xf>
    <xf numFmtId="44" fontId="10" fillId="0" borderId="120" xfId="2" applyFont="1" applyFill="1" applyBorder="1" applyAlignment="1">
      <alignment horizontal="right" vertical="center"/>
    </xf>
    <xf numFmtId="44" fontId="11" fillId="0" borderId="121" xfId="2" applyFont="1" applyFill="1" applyBorder="1" applyAlignment="1">
      <alignment horizontal="right" vertical="center"/>
    </xf>
    <xf numFmtId="44" fontId="10" fillId="0" borderId="30" xfId="2" applyFont="1" applyFill="1" applyBorder="1" applyAlignment="1"/>
    <xf numFmtId="44" fontId="10" fillId="0" borderId="35" xfId="2" applyFont="1" applyFill="1" applyBorder="1" applyAlignment="1"/>
    <xf numFmtId="44" fontId="10" fillId="0" borderId="29" xfId="2" applyFont="1" applyFill="1" applyBorder="1" applyAlignment="1">
      <alignment horizontal="center"/>
    </xf>
    <xf numFmtId="44" fontId="10" fillId="0" borderId="34" xfId="2" applyFont="1" applyFill="1" applyBorder="1" applyAlignment="1">
      <alignment horizontal="center"/>
    </xf>
    <xf numFmtId="4" fontId="11" fillId="0" borderId="20" xfId="6" applyNumberFormat="1" applyFont="1" applyFill="1" applyBorder="1" applyAlignment="1">
      <alignment horizontal="center" vertical="center"/>
    </xf>
    <xf numFmtId="44" fontId="11" fillId="0" borderId="24" xfId="2" applyFont="1" applyFill="1" applyBorder="1" applyAlignment="1">
      <alignment horizontal="center" vertical="center"/>
    </xf>
    <xf numFmtId="167" fontId="11" fillId="0" borderId="121" xfId="7" applyNumberFormat="1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 wrapText="1"/>
    </xf>
    <xf numFmtId="0" fontId="70" fillId="0" borderId="0" xfId="0" applyFont="1"/>
    <xf numFmtId="0" fontId="70" fillId="0" borderId="0" xfId="0" applyFont="1" applyAlignment="1">
      <alignment wrapText="1"/>
    </xf>
    <xf numFmtId="0" fontId="57" fillId="0" borderId="0" xfId="0" applyFont="1" applyAlignment="1">
      <alignment wrapText="1"/>
    </xf>
    <xf numFmtId="0" fontId="57" fillId="0" borderId="3" xfId="0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wrapText="1"/>
    </xf>
    <xf numFmtId="0" fontId="68" fillId="0" borderId="110" xfId="11" applyBorder="1" applyAlignment="1">
      <alignment horizontal="center" vertical="center" wrapText="1"/>
    </xf>
    <xf numFmtId="0" fontId="70" fillId="0" borderId="137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68" fillId="0" borderId="8" xfId="11" applyBorder="1" applyAlignment="1">
      <alignment horizontal="center" vertical="center" wrapText="1"/>
    </xf>
    <xf numFmtId="0" fontId="70" fillId="0" borderId="138" xfId="0" applyFont="1" applyBorder="1" applyAlignment="1">
      <alignment horizontal="center" vertical="center" wrapText="1"/>
    </xf>
    <xf numFmtId="0" fontId="70" fillId="0" borderId="0" xfId="0" applyFont="1" applyAlignment="1">
      <alignment vertical="top" wrapText="1"/>
    </xf>
    <xf numFmtId="0" fontId="58" fillId="0" borderId="0" xfId="0" applyFont="1" applyAlignment="1">
      <alignment horizontal="left" vertical="center" wrapText="1"/>
    </xf>
    <xf numFmtId="0" fontId="58" fillId="0" borderId="0" xfId="0" applyFont="1" applyAlignment="1">
      <alignment horizontal="justify" vertical="center" wrapText="1"/>
    </xf>
    <xf numFmtId="0" fontId="70" fillId="0" borderId="0" xfId="0" applyFont="1" applyAlignment="1">
      <alignment horizontal="center" wrapText="1"/>
    </xf>
    <xf numFmtId="0" fontId="58" fillId="0" borderId="0" xfId="0" applyFont="1" applyAlignment="1">
      <alignment horizontal="center" vertical="center" wrapText="1"/>
    </xf>
    <xf numFmtId="0" fontId="45" fillId="16" borderId="117" xfId="10" applyFont="1" applyFill="1" applyBorder="1" applyAlignment="1">
      <alignment horizontal="center" vertical="center" wrapText="1"/>
    </xf>
    <xf numFmtId="173" fontId="48" fillId="0" borderId="117" xfId="10" applyNumberFormat="1" applyFont="1" applyBorder="1" applyAlignment="1">
      <alignment horizontal="center" vertical="center" wrapText="1"/>
    </xf>
    <xf numFmtId="0" fontId="23" fillId="0" borderId="117" xfId="10" applyFont="1" applyBorder="1" applyAlignment="1">
      <alignment horizontal="center" vertical="center" wrapText="1"/>
    </xf>
    <xf numFmtId="0" fontId="47" fillId="0" borderId="117" xfId="10" applyFont="1" applyBorder="1" applyAlignment="1">
      <alignment horizontal="center" vertical="center" wrapText="1"/>
    </xf>
    <xf numFmtId="173" fontId="48" fillId="0" borderId="47" xfId="10" applyNumberFormat="1" applyFont="1" applyBorder="1" applyAlignment="1">
      <alignment horizontal="center" vertical="center" wrapText="1"/>
    </xf>
    <xf numFmtId="173" fontId="48" fillId="0" borderId="0" xfId="10" applyNumberFormat="1" applyFont="1" applyAlignment="1">
      <alignment horizontal="center" vertical="center" wrapText="1"/>
    </xf>
    <xf numFmtId="173" fontId="48" fillId="0" borderId="45" xfId="10" applyNumberFormat="1" applyFont="1" applyBorder="1" applyAlignment="1">
      <alignment horizontal="center" vertical="center" wrapText="1"/>
    </xf>
    <xf numFmtId="173" fontId="46" fillId="16" borderId="117" xfId="10" applyNumberFormat="1" applyFont="1" applyFill="1" applyBorder="1" applyAlignment="1">
      <alignment horizontal="center" vertical="center" wrapText="1"/>
    </xf>
    <xf numFmtId="0" fontId="45" fillId="0" borderId="117" xfId="10" applyFont="1" applyBorder="1" applyAlignment="1">
      <alignment horizontal="center" vertical="center" wrapText="1"/>
    </xf>
    <xf numFmtId="173" fontId="49" fillId="0" borderId="117" xfId="10" applyNumberFormat="1" applyFont="1" applyBorder="1" applyAlignment="1">
      <alignment horizontal="center" vertical="center" wrapText="1"/>
    </xf>
    <xf numFmtId="173" fontId="49" fillId="0" borderId="119" xfId="10" applyNumberFormat="1" applyFont="1" applyBorder="1" applyAlignment="1">
      <alignment horizontal="center" vertical="center" wrapText="1"/>
    </xf>
    <xf numFmtId="0" fontId="40" fillId="16" borderId="37" xfId="10" applyFont="1" applyFill="1" applyBorder="1" applyAlignment="1">
      <alignment horizontal="center" vertical="center" wrapText="1"/>
    </xf>
    <xf numFmtId="0" fontId="6" fillId="10" borderId="110" xfId="0" applyFont="1" applyFill="1" applyBorder="1" applyAlignment="1" applyProtection="1">
      <alignment horizontal="center" vertical="center" wrapText="1"/>
      <protection locked="0"/>
    </xf>
    <xf numFmtId="164" fontId="33" fillId="10" borderId="155" xfId="2" applyNumberFormat="1" applyFont="1" applyFill="1" applyBorder="1" applyAlignment="1" applyProtection="1">
      <alignment horizontal="center" vertical="center"/>
      <protection locked="0"/>
    </xf>
    <xf numFmtId="0" fontId="23" fillId="0" borderId="117" xfId="10" applyFont="1" applyBorder="1" applyAlignment="1">
      <alignment horizontal="center" vertical="center" wrapText="1"/>
    </xf>
    <xf numFmtId="0" fontId="33" fillId="0" borderId="134" xfId="0" applyFont="1" applyBorder="1" applyAlignment="1" applyProtection="1">
      <alignment horizontal="center" vertical="center" wrapText="1"/>
      <protection locked="0"/>
    </xf>
    <xf numFmtId="0" fontId="35" fillId="0" borderId="135" xfId="0" applyFont="1" applyBorder="1" applyAlignment="1" applyProtection="1">
      <alignment horizontal="center" vertical="center" wrapText="1"/>
      <protection locked="0"/>
    </xf>
    <xf numFmtId="0" fontId="35" fillId="0" borderId="135" xfId="0" applyFont="1" applyBorder="1" applyAlignment="1" applyProtection="1">
      <alignment vertical="center" wrapText="1"/>
      <protection locked="0"/>
    </xf>
    <xf numFmtId="0" fontId="34" fillId="0" borderId="135" xfId="0" applyFont="1" applyBorder="1" applyAlignment="1">
      <alignment horizontal="center" vertical="center"/>
    </xf>
    <xf numFmtId="0" fontId="33" fillId="0" borderId="3" xfId="0" applyFont="1" applyBorder="1" applyAlignment="1" applyProtection="1">
      <alignment horizontal="center" vertical="center" wrapText="1"/>
      <protection locked="0"/>
    </xf>
    <xf numFmtId="0" fontId="35" fillId="0" borderId="100" xfId="0" applyFont="1" applyBorder="1" applyAlignment="1" applyProtection="1">
      <alignment horizontal="center" vertical="center" wrapText="1"/>
      <protection locked="0"/>
    </xf>
    <xf numFmtId="0" fontId="35" fillId="0" borderId="100" xfId="0" applyFont="1" applyBorder="1" applyAlignment="1" applyProtection="1">
      <alignment vertical="center" wrapText="1"/>
      <protection locked="0"/>
    </xf>
    <xf numFmtId="0" fontId="34" fillId="0" borderId="100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0" fontId="36" fillId="0" borderId="134" xfId="0" applyFont="1" applyBorder="1" applyAlignment="1" applyProtection="1">
      <alignment horizontal="center" vertical="center" wrapText="1"/>
      <protection locked="0"/>
    </xf>
    <xf numFmtId="0" fontId="34" fillId="0" borderId="89" xfId="0" applyFont="1" applyBorder="1" applyAlignment="1">
      <alignment horizontal="center" vertical="center"/>
    </xf>
    <xf numFmtId="2" fontId="7" fillId="0" borderId="100" xfId="1" applyNumberFormat="1" applyFont="1" applyFill="1" applyBorder="1" applyAlignment="1" applyProtection="1">
      <alignment horizontal="center" vertical="center"/>
      <protection locked="0"/>
    </xf>
    <xf numFmtId="166" fontId="3" fillId="0" borderId="20" xfId="5" applyFont="1" applyBorder="1" applyAlignment="1">
      <alignment horizontal="center" vertical="center"/>
    </xf>
    <xf numFmtId="4" fontId="10" fillId="0" borderId="120" xfId="6" applyNumberFormat="1" applyFill="1" applyBorder="1" applyAlignment="1">
      <alignment horizontal="center" vertical="center"/>
    </xf>
    <xf numFmtId="43" fontId="11" fillId="0" borderId="120" xfId="1" applyFont="1" applyFill="1" applyBorder="1" applyAlignment="1">
      <alignment horizontal="center" vertical="center"/>
    </xf>
    <xf numFmtId="43" fontId="13" fillId="0" borderId="21" xfId="1" applyFont="1" applyBorder="1" applyAlignment="1">
      <alignment vertical="center"/>
    </xf>
    <xf numFmtId="0" fontId="54" fillId="0" borderId="100" xfId="0" applyFont="1" applyBorder="1" applyAlignment="1" applyProtection="1">
      <alignment horizontal="center" vertical="center" wrapText="1"/>
      <protection locked="0"/>
    </xf>
    <xf numFmtId="0" fontId="56" fillId="0" borderId="100" xfId="0" applyFont="1" applyBorder="1" applyAlignment="1" applyProtection="1">
      <alignment horizontal="center" vertical="center" wrapText="1"/>
      <protection locked="0"/>
    </xf>
    <xf numFmtId="0" fontId="56" fillId="0" borderId="100" xfId="0" applyFont="1" applyBorder="1" applyAlignment="1" applyProtection="1">
      <alignment vertical="center" wrapText="1"/>
      <protection locked="0"/>
    </xf>
    <xf numFmtId="0" fontId="8" fillId="0" borderId="100" xfId="0" applyFont="1" applyBorder="1" applyAlignment="1">
      <alignment horizontal="center" vertical="center"/>
    </xf>
    <xf numFmtId="4" fontId="8" fillId="7" borderId="100" xfId="1" applyNumberFormat="1" applyFont="1" applyFill="1" applyBorder="1" applyAlignment="1" applyProtection="1">
      <alignment horizontal="center" vertical="center"/>
      <protection locked="0"/>
    </xf>
    <xf numFmtId="43" fontId="8" fillId="10" borderId="100" xfId="0" applyNumberFormat="1" applyFont="1" applyFill="1" applyBorder="1" applyAlignment="1" applyProtection="1">
      <alignment horizontal="center" vertical="center"/>
      <protection locked="0"/>
    </xf>
    <xf numFmtId="2" fontId="7" fillId="10" borderId="110" xfId="1" applyNumberFormat="1" applyFont="1" applyFill="1" applyBorder="1" applyAlignment="1" applyProtection="1">
      <alignment horizontal="center" vertical="center"/>
      <protection locked="0"/>
    </xf>
    <xf numFmtId="164" fontId="36" fillId="10" borderId="99" xfId="0" applyNumberFormat="1" applyFont="1" applyFill="1" applyBorder="1" applyAlignment="1" applyProtection="1">
      <alignment horizontal="center" vertical="center"/>
      <protection locked="0"/>
    </xf>
    <xf numFmtId="0" fontId="36" fillId="10" borderId="99" xfId="0" applyFont="1" applyFill="1" applyBorder="1" applyAlignment="1" applyProtection="1">
      <alignment horizontal="center" vertical="center" wrapText="1"/>
      <protection locked="0"/>
    </xf>
    <xf numFmtId="0" fontId="36" fillId="0" borderId="148" xfId="0" applyFont="1" applyFill="1" applyBorder="1" applyAlignment="1" applyProtection="1">
      <alignment horizontal="center" vertical="center" wrapText="1"/>
      <protection locked="0"/>
    </xf>
    <xf numFmtId="0" fontId="35" fillId="0" borderId="4" xfId="0" applyFont="1" applyFill="1" applyBorder="1" applyAlignment="1" applyProtection="1">
      <alignment horizontal="center" vertical="center" wrapText="1"/>
      <protection locked="0"/>
    </xf>
    <xf numFmtId="0" fontId="35" fillId="0" borderId="4" xfId="0" applyFont="1" applyFill="1" applyBorder="1" applyAlignment="1" applyProtection="1">
      <alignment vertical="center" wrapText="1"/>
      <protection locked="0"/>
    </xf>
    <xf numFmtId="0" fontId="34" fillId="0" borderId="14" xfId="0" applyFont="1" applyFill="1" applyBorder="1" applyAlignment="1">
      <alignment horizontal="center" vertical="center"/>
    </xf>
    <xf numFmtId="0" fontId="33" fillId="0" borderId="148" xfId="0" applyFont="1" applyBorder="1" applyAlignment="1" applyProtection="1">
      <alignment horizontal="center" vertical="center" wrapText="1"/>
      <protection locked="0"/>
    </xf>
    <xf numFmtId="0" fontId="35" fillId="0" borderId="4" xfId="0" applyFont="1" applyBorder="1" applyAlignment="1" applyProtection="1">
      <alignment horizontal="center" vertical="center" wrapText="1"/>
      <protection locked="0"/>
    </xf>
    <xf numFmtId="0" fontId="35" fillId="0" borderId="4" xfId="0" applyFont="1" applyBorder="1" applyAlignment="1" applyProtection="1">
      <alignment vertical="center" wrapText="1"/>
      <protection locked="0"/>
    </xf>
    <xf numFmtId="0" fontId="36" fillId="0" borderId="134" xfId="0" applyFont="1" applyFill="1" applyBorder="1" applyAlignment="1" applyProtection="1">
      <alignment horizontal="center" vertical="center" wrapText="1"/>
      <protection locked="0"/>
    </xf>
    <xf numFmtId="0" fontId="35" fillId="0" borderId="135" xfId="0" applyFont="1" applyFill="1" applyBorder="1" applyAlignment="1" applyProtection="1">
      <alignment horizontal="center" vertical="center" wrapText="1"/>
      <protection locked="0"/>
    </xf>
    <xf numFmtId="0" fontId="35" fillId="0" borderId="135" xfId="0" applyFont="1" applyFill="1" applyBorder="1" applyAlignment="1" applyProtection="1">
      <alignment vertical="center" wrapText="1"/>
      <protection locked="0"/>
    </xf>
    <xf numFmtId="0" fontId="34" fillId="0" borderId="136" xfId="0" applyFont="1" applyFill="1" applyBorder="1" applyAlignment="1">
      <alignment horizontal="center" vertical="center"/>
    </xf>
    <xf numFmtId="43" fontId="36" fillId="10" borderId="138" xfId="1" applyFont="1" applyFill="1" applyBorder="1" applyAlignment="1" applyProtection="1">
      <alignment horizontal="center" vertical="center"/>
      <protection locked="0"/>
    </xf>
    <xf numFmtId="9" fontId="55" fillId="10" borderId="100" xfId="3" applyFont="1" applyFill="1" applyBorder="1" applyAlignment="1" applyProtection="1">
      <alignment horizontal="center" vertical="center"/>
      <protection locked="0"/>
    </xf>
    <xf numFmtId="0" fontId="32" fillId="0" borderId="0" xfId="0" applyFont="1"/>
    <xf numFmtId="0" fontId="32" fillId="0" borderId="0" xfId="0" applyFont="1" applyAlignment="1">
      <alignment horizontal="center"/>
    </xf>
    <xf numFmtId="0" fontId="72" fillId="0" borderId="110" xfId="0" applyFont="1" applyBorder="1" applyAlignment="1">
      <alignment horizontal="center" vertical="center" wrapText="1"/>
    </xf>
    <xf numFmtId="0" fontId="73" fillId="0" borderId="110" xfId="0" applyFont="1" applyBorder="1" applyAlignment="1">
      <alignment horizontal="center" vertical="center" wrapText="1"/>
    </xf>
    <xf numFmtId="0" fontId="32" fillId="0" borderId="110" xfId="0" applyFont="1" applyBorder="1" applyAlignment="1">
      <alignment horizontal="left" vertical="center"/>
    </xf>
    <xf numFmtId="14" fontId="32" fillId="2" borderId="110" xfId="0" applyNumberFormat="1" applyFont="1" applyFill="1" applyBorder="1" applyAlignment="1">
      <alignment horizontal="center" vertical="center"/>
    </xf>
    <xf numFmtId="1" fontId="32" fillId="2" borderId="110" xfId="0" applyNumberFormat="1" applyFont="1" applyFill="1" applyBorder="1" applyAlignment="1">
      <alignment horizontal="center" vertical="center"/>
    </xf>
    <xf numFmtId="0" fontId="32" fillId="0" borderId="110" xfId="0" applyFont="1" applyBorder="1" applyAlignment="1">
      <alignment horizontal="left" vertical="center" wrapText="1"/>
    </xf>
    <xf numFmtId="0" fontId="32" fillId="0" borderId="0" xfId="0" applyFont="1" applyAlignment="1">
      <alignment horizontal="left"/>
    </xf>
    <xf numFmtId="14" fontId="32" fillId="0" borderId="110" xfId="0" applyNumberFormat="1" applyFont="1" applyBorder="1" applyAlignment="1">
      <alignment horizontal="center" vertical="center"/>
    </xf>
    <xf numFmtId="14" fontId="32" fillId="2" borderId="110" xfId="0" applyNumberFormat="1" applyFont="1" applyFill="1" applyBorder="1" applyAlignment="1">
      <alignment horizontal="center" vertical="center" wrapText="1"/>
    </xf>
    <xf numFmtId="0" fontId="72" fillId="0" borderId="110" xfId="0" applyFont="1" applyBorder="1" applyAlignment="1">
      <alignment horizontal="center" vertical="center"/>
    </xf>
    <xf numFmtId="0" fontId="32" fillId="0" borderId="110" xfId="0" applyFont="1" applyBorder="1" applyAlignment="1">
      <alignment horizontal="center" vertical="center"/>
    </xf>
    <xf numFmtId="0" fontId="32" fillId="0" borderId="110" xfId="0" applyFont="1" applyBorder="1" applyAlignment="1">
      <alignment vertical="center"/>
    </xf>
    <xf numFmtId="0" fontId="75" fillId="0" borderId="110" xfId="0" applyFont="1" applyBorder="1" applyAlignment="1">
      <alignment horizontal="left" vertical="center" wrapText="1"/>
    </xf>
    <xf numFmtId="14" fontId="32" fillId="0" borderId="110" xfId="0" applyNumberFormat="1" applyFont="1" applyBorder="1" applyAlignment="1">
      <alignment vertical="center"/>
    </xf>
    <xf numFmtId="0" fontId="75" fillId="0" borderId="110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76" fillId="0" borderId="0" xfId="0" applyFont="1" applyAlignment="1">
      <alignment vertical="top"/>
    </xf>
    <xf numFmtId="0" fontId="77" fillId="0" borderId="0" xfId="0" applyFont="1" applyAlignment="1">
      <alignment vertical="top"/>
    </xf>
    <xf numFmtId="0" fontId="78" fillId="0" borderId="0" xfId="0" applyFont="1" applyAlignment="1">
      <alignment vertical="top"/>
    </xf>
    <xf numFmtId="0" fontId="80" fillId="0" borderId="0" xfId="0" applyFont="1" applyAlignment="1">
      <alignment horizontal="center" vertical="top"/>
    </xf>
    <xf numFmtId="0" fontId="79" fillId="17" borderId="110" xfId="0" applyFont="1" applyFill="1" applyBorder="1" applyAlignment="1">
      <alignment horizontal="center" vertical="center"/>
    </xf>
    <xf numFmtId="0" fontId="77" fillId="0" borderId="110" xfId="0" applyFont="1" applyBorder="1" applyAlignment="1">
      <alignment horizontal="center" vertical="center"/>
    </xf>
    <xf numFmtId="0" fontId="77" fillId="0" borderId="110" xfId="0" applyFont="1" applyBorder="1" applyAlignment="1">
      <alignment vertical="center"/>
    </xf>
    <xf numFmtId="14" fontId="77" fillId="0" borderId="110" xfId="0" applyNumberFormat="1" applyFont="1" applyBorder="1" applyAlignment="1">
      <alignment vertical="center"/>
    </xf>
    <xf numFmtId="1" fontId="77" fillId="0" borderId="110" xfId="0" applyNumberFormat="1" applyFont="1" applyBorder="1" applyAlignment="1">
      <alignment vertical="center"/>
    </xf>
    <xf numFmtId="0" fontId="77" fillId="0" borderId="110" xfId="0" applyFont="1" applyBorder="1" applyAlignment="1">
      <alignment horizontal="left" vertical="top" wrapText="1"/>
    </xf>
    <xf numFmtId="0" fontId="77" fillId="0" borderId="110" xfId="0" applyFont="1" applyBorder="1" applyAlignment="1">
      <alignment horizontal="left" vertical="top"/>
    </xf>
    <xf numFmtId="14" fontId="77" fillId="0" borderId="110" xfId="0" applyNumberFormat="1" applyFont="1" applyBorder="1" applyAlignment="1">
      <alignment horizontal="center" vertical="center"/>
    </xf>
    <xf numFmtId="1" fontId="78" fillId="0" borderId="0" xfId="0" applyNumberFormat="1" applyFont="1" applyAlignment="1">
      <alignment vertical="top"/>
    </xf>
    <xf numFmtId="1" fontId="32" fillId="0" borderId="0" xfId="0" applyNumberFormat="1" applyFont="1" applyAlignment="1">
      <alignment horizontal="left"/>
    </xf>
    <xf numFmtId="1" fontId="0" fillId="0" borderId="0" xfId="0" applyNumberFormat="1"/>
    <xf numFmtId="1" fontId="32" fillId="0" borderId="0" xfId="0" applyNumberFormat="1" applyFont="1"/>
    <xf numFmtId="0" fontId="45" fillId="16" borderId="47" xfId="10" applyFont="1" applyFill="1" applyBorder="1" applyAlignment="1">
      <alignment horizontal="center" vertical="center" wrapText="1"/>
    </xf>
    <xf numFmtId="0" fontId="47" fillId="0" borderId="119" xfId="10" applyFont="1" applyBorder="1" applyAlignment="1">
      <alignment horizontal="center" vertical="center" wrapText="1"/>
    </xf>
    <xf numFmtId="173" fontId="48" fillId="0" borderId="49" xfId="10" applyNumberFormat="1" applyFont="1" applyBorder="1" applyAlignment="1">
      <alignment horizontal="center" vertical="center" wrapText="1"/>
    </xf>
    <xf numFmtId="173" fontId="48" fillId="0" borderId="47" xfId="10" applyNumberFormat="1" applyFont="1" applyBorder="1" applyAlignment="1">
      <alignment horizontal="center" vertical="center" wrapText="1"/>
    </xf>
    <xf numFmtId="173" fontId="48" fillId="0" borderId="48" xfId="10" applyNumberFormat="1" applyFont="1" applyBorder="1" applyAlignment="1">
      <alignment horizontal="center" vertical="center" wrapText="1"/>
    </xf>
    <xf numFmtId="0" fontId="41" fillId="18" borderId="164" xfId="0" applyFont="1" applyFill="1" applyBorder="1" applyAlignment="1">
      <alignment horizontal="center" vertical="center" wrapText="1"/>
    </xf>
    <xf numFmtId="0" fontId="41" fillId="18" borderId="160" xfId="0" applyFont="1" applyFill="1" applyBorder="1" applyAlignment="1">
      <alignment horizontal="center" vertical="center" wrapText="1"/>
    </xf>
    <xf numFmtId="0" fontId="41" fillId="18" borderId="160" xfId="0" applyFont="1" applyFill="1" applyBorder="1" applyAlignment="1">
      <alignment horizontal="left" vertical="center" wrapText="1"/>
    </xf>
    <xf numFmtId="0" fontId="46" fillId="16" borderId="47" xfId="10" applyFont="1" applyFill="1" applyBorder="1" applyAlignment="1">
      <alignment horizontal="center" vertical="center" wrapText="1"/>
    </xf>
    <xf numFmtId="0" fontId="48" fillId="0" borderId="110" xfId="0" applyFont="1" applyBorder="1" applyAlignment="1">
      <alignment horizontal="right" vertical="center" wrapText="1"/>
    </xf>
    <xf numFmtId="4" fontId="48" fillId="0" borderId="110" xfId="0" applyNumberFormat="1" applyFont="1" applyBorder="1" applyAlignment="1">
      <alignment horizontal="right" vertical="center" wrapText="1"/>
    </xf>
    <xf numFmtId="0" fontId="33" fillId="10" borderId="44" xfId="0" applyFont="1" applyFill="1" applyBorder="1" applyAlignment="1" applyProtection="1">
      <alignment horizontal="center" vertical="center"/>
      <protection locked="0"/>
    </xf>
    <xf numFmtId="0" fontId="33" fillId="10" borderId="81" xfId="0" applyFont="1" applyFill="1" applyBorder="1" applyAlignment="1" applyProtection="1">
      <alignment horizontal="center" vertical="center"/>
      <protection locked="0"/>
    </xf>
    <xf numFmtId="0" fontId="33" fillId="10" borderId="82" xfId="0" applyFont="1" applyFill="1" applyBorder="1" applyAlignment="1" applyProtection="1">
      <alignment horizontal="center" vertical="center"/>
      <protection locked="0"/>
    </xf>
    <xf numFmtId="0" fontId="33" fillId="10" borderId="96" xfId="0" applyFont="1" applyFill="1" applyBorder="1" applyAlignment="1" applyProtection="1">
      <alignment horizontal="center" vertical="center"/>
      <protection locked="0"/>
    </xf>
    <xf numFmtId="0" fontId="33" fillId="10" borderId="3" xfId="0" applyFont="1" applyFill="1" applyBorder="1" applyAlignment="1" applyProtection="1">
      <alignment horizontal="center" vertical="center"/>
      <protection locked="0"/>
    </xf>
    <xf numFmtId="0" fontId="33" fillId="10" borderId="5" xfId="0" applyFont="1" applyFill="1" applyBorder="1" applyAlignment="1" applyProtection="1">
      <alignment horizontal="center" vertical="center"/>
      <protection locked="0"/>
    </xf>
    <xf numFmtId="0" fontId="33" fillId="10" borderId="89" xfId="0" applyFont="1" applyFill="1" applyBorder="1" applyAlignment="1" applyProtection="1">
      <alignment horizontal="center" vertical="center"/>
      <protection locked="0"/>
    </xf>
    <xf numFmtId="0" fontId="33" fillId="10" borderId="4" xfId="0" applyFont="1" applyFill="1" applyBorder="1" applyAlignment="1" applyProtection="1">
      <alignment horizontal="center" vertical="center"/>
      <protection locked="0"/>
    </xf>
    <xf numFmtId="0" fontId="33" fillId="10" borderId="80" xfId="0" applyFont="1" applyFill="1" applyBorder="1" applyAlignment="1" applyProtection="1">
      <alignment horizontal="center" vertical="center"/>
      <protection locked="0"/>
    </xf>
    <xf numFmtId="0" fontId="33" fillId="10" borderId="100" xfId="0" applyFont="1" applyFill="1" applyBorder="1" applyAlignment="1" applyProtection="1">
      <alignment horizontal="center" vertical="center"/>
      <protection locked="0"/>
    </xf>
    <xf numFmtId="0" fontId="33" fillId="10" borderId="6" xfId="0" applyFont="1" applyFill="1" applyBorder="1" applyAlignment="1" applyProtection="1">
      <alignment horizontal="center" vertical="center"/>
      <protection locked="0"/>
    </xf>
    <xf numFmtId="0" fontId="33" fillId="10" borderId="88" xfId="0" applyFont="1" applyFill="1" applyBorder="1" applyAlignment="1" applyProtection="1">
      <alignment horizontal="center" vertical="center" wrapText="1"/>
      <protection locked="0"/>
    </xf>
    <xf numFmtId="0" fontId="33" fillId="10" borderId="93" xfId="0" applyFont="1" applyFill="1" applyBorder="1" applyAlignment="1" applyProtection="1">
      <alignment horizontal="center" vertical="center" wrapText="1"/>
      <protection locked="0"/>
    </xf>
    <xf numFmtId="0" fontId="33" fillId="10" borderId="101" xfId="0" applyFont="1" applyFill="1" applyBorder="1" applyAlignment="1" applyProtection="1">
      <alignment horizontal="center" vertical="center" wrapText="1"/>
      <protection locked="0"/>
    </xf>
    <xf numFmtId="0" fontId="33" fillId="10" borderId="99" xfId="0" applyFont="1" applyFill="1" applyBorder="1" applyAlignment="1" applyProtection="1">
      <alignment horizontal="center" vertical="center" wrapText="1"/>
      <protection locked="0"/>
    </xf>
    <xf numFmtId="0" fontId="33" fillId="10" borderId="7" xfId="0" applyFont="1" applyFill="1" applyBorder="1" applyAlignment="1" applyProtection="1">
      <alignment horizontal="center" vertical="center" wrapText="1"/>
      <protection locked="0"/>
    </xf>
    <xf numFmtId="0" fontId="33" fillId="10" borderId="9" xfId="0" applyFont="1" applyFill="1" applyBorder="1" applyAlignment="1" applyProtection="1">
      <alignment horizontal="center" vertical="center" wrapText="1"/>
      <protection locked="0"/>
    </xf>
    <xf numFmtId="164" fontId="36" fillId="10" borderId="99" xfId="0" applyNumberFormat="1" applyFont="1" applyFill="1" applyBorder="1" applyAlignment="1" applyProtection="1">
      <alignment horizontal="center" vertical="center"/>
      <protection locked="0"/>
    </xf>
    <xf numFmtId="164" fontId="36" fillId="10" borderId="7" xfId="0" applyNumberFormat="1" applyFont="1" applyFill="1" applyBorder="1" applyAlignment="1" applyProtection="1">
      <alignment horizontal="center" vertical="center"/>
      <protection locked="0"/>
    </xf>
    <xf numFmtId="0" fontId="36" fillId="10" borderId="99" xfId="0" applyFont="1" applyFill="1" applyBorder="1" applyAlignment="1" applyProtection="1">
      <alignment horizontal="center" vertical="center" wrapText="1"/>
      <protection locked="0"/>
    </xf>
    <xf numFmtId="0" fontId="36" fillId="10" borderId="7" xfId="0" applyFont="1" applyFill="1" applyBorder="1" applyAlignment="1" applyProtection="1">
      <alignment horizontal="center" vertical="center" wrapText="1"/>
      <protection locked="0"/>
    </xf>
    <xf numFmtId="0" fontId="36" fillId="10" borderId="9" xfId="0" applyFont="1" applyFill="1" applyBorder="1" applyAlignment="1" applyProtection="1">
      <alignment horizontal="center" vertical="center" wrapText="1"/>
      <protection locked="0"/>
    </xf>
    <xf numFmtId="164" fontId="36" fillId="10" borderId="9" xfId="0" applyNumberFormat="1" applyFont="1" applyFill="1" applyBorder="1" applyAlignment="1" applyProtection="1">
      <alignment horizontal="center" vertical="center"/>
      <protection locked="0"/>
    </xf>
    <xf numFmtId="43" fontId="23" fillId="0" borderId="26" xfId="8" applyNumberFormat="1" applyFont="1" applyBorder="1" applyAlignment="1">
      <alignment horizontal="center"/>
    </xf>
    <xf numFmtId="43" fontId="23" fillId="0" borderId="27" xfId="8" applyNumberFormat="1" applyFont="1" applyBorder="1" applyAlignment="1">
      <alignment horizontal="center"/>
    </xf>
    <xf numFmtId="0" fontId="12" fillId="5" borderId="54" xfId="4" applyFont="1" applyFill="1" applyBorder="1" applyAlignment="1">
      <alignment horizontal="center" vertical="center"/>
    </xf>
    <xf numFmtId="0" fontId="12" fillId="5" borderId="55" xfId="4" applyFont="1" applyFill="1" applyBorder="1" applyAlignment="1">
      <alignment horizontal="center" vertical="center"/>
    </xf>
    <xf numFmtId="0" fontId="12" fillId="5" borderId="123" xfId="4" applyFont="1" applyFill="1" applyBorder="1" applyAlignment="1">
      <alignment horizontal="center" vertical="center"/>
    </xf>
    <xf numFmtId="0" fontId="12" fillId="5" borderId="56" xfId="4" applyFont="1" applyFill="1" applyBorder="1" applyAlignment="1">
      <alignment horizontal="center" vertical="center"/>
    </xf>
    <xf numFmtId="0" fontId="13" fillId="6" borderId="57" xfId="4" applyFont="1" applyFill="1" applyBorder="1" applyAlignment="1">
      <alignment horizontal="left" vertical="center" wrapText="1"/>
    </xf>
    <xf numFmtId="0" fontId="13" fillId="6" borderId="58" xfId="4" applyFont="1" applyFill="1" applyBorder="1" applyAlignment="1">
      <alignment horizontal="left" vertical="center" wrapText="1"/>
    </xf>
    <xf numFmtId="0" fontId="13" fillId="6" borderId="58" xfId="4" applyFont="1" applyFill="1" applyBorder="1" applyAlignment="1">
      <alignment horizontal="center" vertical="center" wrapText="1"/>
    </xf>
    <xf numFmtId="0" fontId="13" fillId="6" borderId="58" xfId="4" applyFont="1" applyFill="1" applyBorder="1" applyAlignment="1">
      <alignment horizontal="center" vertical="center"/>
    </xf>
    <xf numFmtId="0" fontId="13" fillId="6" borderId="59" xfId="4" applyFont="1" applyFill="1" applyBorder="1" applyAlignment="1">
      <alignment horizontal="center" vertical="center"/>
    </xf>
    <xf numFmtId="0" fontId="13" fillId="6" borderId="60" xfId="4" applyFont="1" applyFill="1" applyBorder="1" applyAlignment="1">
      <alignment horizontal="center" vertical="center"/>
    </xf>
    <xf numFmtId="0" fontId="13" fillId="6" borderId="124" xfId="4" applyFont="1" applyFill="1" applyBorder="1" applyAlignment="1">
      <alignment horizontal="center" vertical="center"/>
    </xf>
    <xf numFmtId="0" fontId="13" fillId="6" borderId="61" xfId="4" applyFont="1" applyFill="1" applyBorder="1" applyAlignment="1">
      <alignment horizontal="center" vertical="center"/>
    </xf>
    <xf numFmtId="0" fontId="13" fillId="6" borderId="62" xfId="4" applyFont="1" applyFill="1" applyBorder="1" applyAlignment="1">
      <alignment horizontal="center" vertical="center"/>
    </xf>
    <xf numFmtId="0" fontId="13" fillId="6" borderId="125" xfId="4" applyFont="1" applyFill="1" applyBorder="1" applyAlignment="1">
      <alignment horizontal="center" vertical="center"/>
    </xf>
    <xf numFmtId="0" fontId="13" fillId="6" borderId="63" xfId="4" applyFont="1" applyFill="1" applyBorder="1" applyAlignment="1">
      <alignment horizontal="center" vertical="center"/>
    </xf>
    <xf numFmtId="0" fontId="13" fillId="6" borderId="94" xfId="4" applyFont="1" applyFill="1" applyBorder="1" applyAlignment="1">
      <alignment horizontal="left" vertical="center"/>
    </xf>
    <xf numFmtId="0" fontId="13" fillId="6" borderId="95" xfId="4" applyFont="1" applyFill="1" applyBorder="1" applyAlignment="1">
      <alignment horizontal="left" vertical="center"/>
    </xf>
    <xf numFmtId="165" fontId="13" fillId="0" borderId="95" xfId="4" applyNumberFormat="1" applyFont="1" applyFill="1" applyBorder="1" applyAlignment="1">
      <alignment horizontal="center" vertical="center"/>
    </xf>
    <xf numFmtId="165" fontId="13" fillId="0" borderId="102" xfId="4" applyNumberFormat="1" applyFont="1" applyFill="1" applyBorder="1" applyAlignment="1">
      <alignment horizontal="center" vertical="center"/>
    </xf>
    <xf numFmtId="0" fontId="13" fillId="8" borderId="24" xfId="4" applyFont="1" applyFill="1" applyBorder="1" applyAlignment="1">
      <alignment horizontal="center" vertical="center"/>
    </xf>
    <xf numFmtId="0" fontId="12" fillId="5" borderId="68" xfId="4" applyFont="1" applyFill="1" applyBorder="1" applyAlignment="1">
      <alignment horizontal="center" vertical="center"/>
    </xf>
    <xf numFmtId="0" fontId="12" fillId="5" borderId="127" xfId="4" applyFont="1" applyFill="1" applyBorder="1" applyAlignment="1">
      <alignment horizontal="center" vertical="center"/>
    </xf>
    <xf numFmtId="0" fontId="22" fillId="0" borderId="69" xfId="8" applyFont="1" applyBorder="1" applyAlignment="1">
      <alignment horizontal="center"/>
    </xf>
    <xf numFmtId="0" fontId="22" fillId="0" borderId="70" xfId="8" applyFont="1" applyBorder="1" applyAlignment="1">
      <alignment horizontal="center"/>
    </xf>
    <xf numFmtId="0" fontId="21" fillId="0" borderId="31" xfId="8" applyFont="1" applyBorder="1" applyAlignment="1">
      <alignment horizontal="center"/>
    </xf>
    <xf numFmtId="0" fontId="21" fillId="0" borderId="32" xfId="8" applyFont="1" applyBorder="1" applyAlignment="1">
      <alignment horizontal="center"/>
    </xf>
    <xf numFmtId="0" fontId="23" fillId="0" borderId="26" xfId="8" applyFont="1" applyBorder="1" applyAlignment="1">
      <alignment horizontal="center"/>
    </xf>
    <xf numFmtId="0" fontId="23" fillId="0" borderId="27" xfId="8" applyFont="1" applyBorder="1" applyAlignment="1">
      <alignment horizontal="center"/>
    </xf>
    <xf numFmtId="0" fontId="23" fillId="3" borderId="26" xfId="8" applyFont="1" applyFill="1" applyBorder="1" applyAlignment="1">
      <alignment horizontal="center"/>
    </xf>
    <xf numFmtId="0" fontId="23" fillId="3" borderId="27" xfId="8" applyFont="1" applyFill="1" applyBorder="1" applyAlignment="1">
      <alignment horizontal="center"/>
    </xf>
    <xf numFmtId="0" fontId="29" fillId="14" borderId="78" xfId="8" applyFont="1" applyFill="1" applyBorder="1" applyAlignment="1">
      <alignment horizontal="center" vertical="center"/>
    </xf>
    <xf numFmtId="0" fontId="29" fillId="14" borderId="132" xfId="8" applyFont="1" applyFill="1" applyBorder="1" applyAlignment="1">
      <alignment horizontal="center" vertical="center"/>
    </xf>
    <xf numFmtId="0" fontId="29" fillId="14" borderId="79" xfId="8" applyFont="1" applyFill="1" applyBorder="1" applyAlignment="1">
      <alignment horizontal="center" vertical="center"/>
    </xf>
    <xf numFmtId="0" fontId="22" fillId="11" borderId="74" xfId="8" applyFont="1" applyFill="1" applyBorder="1" applyAlignment="1">
      <alignment horizontal="center" vertical="center"/>
    </xf>
    <xf numFmtId="0" fontId="22" fillId="11" borderId="75" xfId="8" applyFont="1" applyFill="1" applyBorder="1" applyAlignment="1">
      <alignment horizontal="center" vertical="center"/>
    </xf>
    <xf numFmtId="0" fontId="22" fillId="12" borderId="75" xfId="8" applyFont="1" applyFill="1" applyBorder="1" applyAlignment="1">
      <alignment horizontal="left" vertical="center" wrapText="1"/>
    </xf>
    <xf numFmtId="0" fontId="30" fillId="0" borderId="103" xfId="8" applyFont="1" applyBorder="1" applyAlignment="1">
      <alignment horizontal="center" vertical="center"/>
    </xf>
    <xf numFmtId="0" fontId="30" fillId="0" borderId="104" xfId="8" applyFont="1" applyBorder="1" applyAlignment="1">
      <alignment horizontal="center" vertical="center"/>
    </xf>
    <xf numFmtId="0" fontId="30" fillId="0" borderId="105" xfId="8" applyFont="1" applyBorder="1" applyAlignment="1">
      <alignment horizontal="center" vertical="center"/>
    </xf>
    <xf numFmtId="0" fontId="29" fillId="14" borderId="44" xfId="8" applyFont="1" applyFill="1" applyBorder="1" applyAlignment="1">
      <alignment horizontal="center" vertical="center"/>
    </xf>
    <xf numFmtId="0" fontId="29" fillId="14" borderId="81" xfId="8" applyFont="1" applyFill="1" applyBorder="1" applyAlignment="1">
      <alignment horizontal="center" vertical="center"/>
    </xf>
    <xf numFmtId="0" fontId="29" fillId="14" borderId="133" xfId="8" applyFont="1" applyFill="1" applyBorder="1" applyAlignment="1">
      <alignment horizontal="center" vertical="center"/>
    </xf>
    <xf numFmtId="0" fontId="29" fillId="14" borderId="82" xfId="8" applyFont="1" applyFill="1" applyBorder="1" applyAlignment="1">
      <alignment horizontal="center" vertical="center"/>
    </xf>
    <xf numFmtId="43" fontId="11" fillId="0" borderId="83" xfId="6" applyFont="1" applyBorder="1" applyAlignment="1">
      <alignment horizontal="center" vertical="center"/>
    </xf>
    <xf numFmtId="43" fontId="11" fillId="0" borderId="53" xfId="6" applyFont="1" applyBorder="1" applyAlignment="1">
      <alignment horizontal="center" vertical="center"/>
    </xf>
    <xf numFmtId="43" fontId="11" fillId="0" borderId="85" xfId="6" applyFont="1" applyBorder="1" applyAlignment="1">
      <alignment horizontal="center" vertical="center"/>
    </xf>
    <xf numFmtId="43" fontId="11" fillId="0" borderId="29" xfId="6" applyFont="1" applyBorder="1" applyAlignment="1">
      <alignment horizontal="center" vertical="center"/>
    </xf>
    <xf numFmtId="43" fontId="11" fillId="0" borderId="84" xfId="6" applyFont="1" applyBorder="1" applyAlignment="1">
      <alignment horizontal="center" vertical="center"/>
    </xf>
    <xf numFmtId="43" fontId="11" fillId="0" borderId="28" xfId="6" applyFont="1" applyBorder="1" applyAlignment="1">
      <alignment horizontal="center" vertical="center"/>
    </xf>
    <xf numFmtId="0" fontId="11" fillId="0" borderId="85" xfId="8" applyFont="1" applyBorder="1" applyAlignment="1">
      <alignment horizontal="center"/>
    </xf>
    <xf numFmtId="0" fontId="11" fillId="0" borderId="122" xfId="8" applyFont="1" applyBorder="1" applyAlignment="1">
      <alignment horizontal="center"/>
    </xf>
    <xf numFmtId="0" fontId="11" fillId="0" borderId="86" xfId="8" applyFont="1" applyBorder="1" applyAlignment="1">
      <alignment horizontal="center"/>
    </xf>
    <xf numFmtId="0" fontId="27" fillId="10" borderId="90" xfId="0" applyFont="1" applyFill="1" applyBorder="1" applyAlignment="1">
      <alignment horizontal="right" vertical="center" wrapText="1"/>
    </xf>
    <xf numFmtId="0" fontId="27" fillId="10" borderId="91" xfId="0" applyFont="1" applyFill="1" applyBorder="1" applyAlignment="1">
      <alignment horizontal="right" vertical="center" wrapText="1"/>
    </xf>
    <xf numFmtId="0" fontId="27" fillId="10" borderId="92" xfId="0" applyFont="1" applyFill="1" applyBorder="1" applyAlignment="1">
      <alignment horizontal="right" vertical="center" wrapText="1"/>
    </xf>
    <xf numFmtId="0" fontId="11" fillId="10" borderId="110" xfId="8" applyFont="1" applyFill="1" applyBorder="1" applyAlignment="1">
      <alignment horizontal="center" vertical="center" wrapText="1"/>
    </xf>
    <xf numFmtId="0" fontId="11" fillId="10" borderId="100" xfId="8" applyFont="1" applyFill="1" applyBorder="1" applyAlignment="1">
      <alignment horizontal="center" vertical="center" wrapText="1"/>
    </xf>
    <xf numFmtId="0" fontId="27" fillId="2" borderId="90" xfId="0" applyFont="1" applyFill="1" applyBorder="1" applyAlignment="1">
      <alignment horizontal="right" vertical="center" wrapText="1"/>
    </xf>
    <xf numFmtId="0" fontId="27" fillId="2" borderId="91" xfId="0" applyFont="1" applyFill="1" applyBorder="1" applyAlignment="1">
      <alignment horizontal="right" vertical="center" wrapText="1"/>
    </xf>
    <xf numFmtId="0" fontId="27" fillId="2" borderId="92" xfId="0" applyFont="1" applyFill="1" applyBorder="1" applyAlignment="1">
      <alignment horizontal="right" vertical="center" wrapText="1"/>
    </xf>
    <xf numFmtId="0" fontId="27" fillId="2" borderId="107" xfId="0" applyFont="1" applyFill="1" applyBorder="1" applyAlignment="1">
      <alignment horizontal="right" vertical="center" wrapText="1"/>
    </xf>
    <xf numFmtId="0" fontId="27" fillId="2" borderId="108" xfId="0" applyFont="1" applyFill="1" applyBorder="1" applyAlignment="1">
      <alignment horizontal="right" vertical="center" wrapText="1"/>
    </xf>
    <xf numFmtId="0" fontId="27" fillId="2" borderId="129" xfId="0" applyFont="1" applyFill="1" applyBorder="1" applyAlignment="1">
      <alignment horizontal="right" vertical="center" wrapText="1"/>
    </xf>
    <xf numFmtId="0" fontId="27" fillId="2" borderId="109" xfId="0" applyFont="1" applyFill="1" applyBorder="1" applyAlignment="1">
      <alignment horizontal="right" vertical="center" wrapText="1"/>
    </xf>
    <xf numFmtId="0" fontId="9" fillId="0" borderId="0" xfId="8" applyFont="1" applyAlignment="1">
      <alignment horizontal="center"/>
    </xf>
    <xf numFmtId="0" fontId="22" fillId="0" borderId="0" xfId="8" applyFont="1" applyAlignment="1">
      <alignment horizontal="center"/>
    </xf>
    <xf numFmtId="0" fontId="11" fillId="0" borderId="0" xfId="8" applyFont="1" applyAlignment="1">
      <alignment horizontal="right"/>
    </xf>
    <xf numFmtId="0" fontId="11" fillId="0" borderId="110" xfId="8" applyFont="1" applyBorder="1" applyAlignment="1">
      <alignment horizontal="center" vertical="center"/>
    </xf>
    <xf numFmtId="0" fontId="11" fillId="0" borderId="110" xfId="8" applyFont="1" applyBorder="1" applyAlignment="1">
      <alignment horizontal="center"/>
    </xf>
    <xf numFmtId="0" fontId="40" fillId="16" borderId="115" xfId="10" applyFont="1" applyFill="1" applyBorder="1" applyAlignment="1">
      <alignment horizontal="center" vertical="center" wrapText="1"/>
    </xf>
    <xf numFmtId="0" fontId="40" fillId="16" borderId="116" xfId="10" applyFont="1" applyFill="1" applyBorder="1" applyAlignment="1">
      <alignment horizontal="center" vertical="center" wrapText="1"/>
    </xf>
    <xf numFmtId="0" fontId="40" fillId="16" borderId="48" xfId="10" applyFont="1" applyFill="1" applyBorder="1" applyAlignment="1">
      <alignment horizontal="center" vertical="center" wrapText="1"/>
    </xf>
    <xf numFmtId="0" fontId="40" fillId="16" borderId="43" xfId="10" applyFont="1" applyFill="1" applyBorder="1" applyAlignment="1">
      <alignment horizontal="center" vertical="center" wrapText="1"/>
    </xf>
    <xf numFmtId="0" fontId="40" fillId="16" borderId="117" xfId="10" applyFont="1" applyFill="1" applyBorder="1" applyAlignment="1">
      <alignment horizontal="center" vertical="center" wrapText="1"/>
    </xf>
    <xf numFmtId="0" fontId="40" fillId="16" borderId="118" xfId="10" applyFont="1" applyFill="1" applyBorder="1" applyAlignment="1">
      <alignment horizontal="center" vertical="center" wrapText="1"/>
    </xf>
    <xf numFmtId="0" fontId="40" fillId="16" borderId="112" xfId="10" applyFont="1" applyFill="1" applyBorder="1" applyAlignment="1">
      <alignment horizontal="center" vertical="center" wrapText="1"/>
    </xf>
    <xf numFmtId="0" fontId="40" fillId="16" borderId="113" xfId="10" applyFont="1" applyFill="1" applyBorder="1" applyAlignment="1">
      <alignment horizontal="center" vertical="center" wrapText="1"/>
    </xf>
    <xf numFmtId="0" fontId="40" fillId="16" borderId="114" xfId="10" applyFont="1" applyFill="1" applyBorder="1" applyAlignment="1">
      <alignment horizontal="center" vertical="center" wrapText="1"/>
    </xf>
    <xf numFmtId="0" fontId="40" fillId="16" borderId="111" xfId="10" applyFont="1" applyFill="1" applyBorder="1" applyAlignment="1">
      <alignment horizontal="center" vertical="center" wrapText="1"/>
    </xf>
    <xf numFmtId="0" fontId="40" fillId="16" borderId="46" xfId="10" applyFont="1" applyFill="1" applyBorder="1" applyAlignment="1">
      <alignment horizontal="center" vertical="center" wrapText="1"/>
    </xf>
    <xf numFmtId="0" fontId="40" fillId="16" borderId="36" xfId="10" applyFont="1" applyFill="1" applyBorder="1" applyAlignment="1">
      <alignment horizontal="center" vertical="center" wrapText="1"/>
    </xf>
    <xf numFmtId="0" fontId="41" fillId="18" borderId="158" xfId="0" applyFont="1" applyFill="1" applyBorder="1" applyAlignment="1">
      <alignment horizontal="center" vertical="center" wrapText="1"/>
    </xf>
    <xf numFmtId="0" fontId="41" fillId="18" borderId="159" xfId="0" applyFont="1" applyFill="1" applyBorder="1" applyAlignment="1">
      <alignment horizontal="center" vertical="center" wrapText="1"/>
    </xf>
    <xf numFmtId="0" fontId="41" fillId="18" borderId="160" xfId="0" applyFont="1" applyFill="1" applyBorder="1" applyAlignment="1">
      <alignment horizontal="center" vertical="center" wrapText="1"/>
    </xf>
    <xf numFmtId="0" fontId="41" fillId="18" borderId="165" xfId="0" applyFont="1" applyFill="1" applyBorder="1" applyAlignment="1">
      <alignment horizontal="center" vertical="center" wrapText="1"/>
    </xf>
    <xf numFmtId="0" fontId="41" fillId="18" borderId="166" xfId="0" applyFont="1" applyFill="1" applyBorder="1" applyAlignment="1">
      <alignment horizontal="center" vertical="center" wrapText="1"/>
    </xf>
    <xf numFmtId="0" fontId="41" fillId="18" borderId="167" xfId="0" applyFont="1" applyFill="1" applyBorder="1" applyAlignment="1">
      <alignment horizontal="center" vertical="center" wrapText="1"/>
    </xf>
    <xf numFmtId="0" fontId="41" fillId="18" borderId="165" xfId="0" applyFont="1" applyFill="1" applyBorder="1" applyAlignment="1">
      <alignment horizontal="justify" vertical="center" wrapText="1"/>
    </xf>
    <xf numFmtId="0" fontId="41" fillId="18" borderId="166" xfId="0" applyFont="1" applyFill="1" applyBorder="1" applyAlignment="1">
      <alignment horizontal="justify" vertical="center" wrapText="1"/>
    </xf>
    <xf numFmtId="0" fontId="41" fillId="18" borderId="167" xfId="0" applyFont="1" applyFill="1" applyBorder="1" applyAlignment="1">
      <alignment horizontal="justify" vertical="center" wrapText="1"/>
    </xf>
    <xf numFmtId="0" fontId="41" fillId="18" borderId="168" xfId="0" applyFont="1" applyFill="1" applyBorder="1" applyAlignment="1">
      <alignment horizontal="center" vertical="center" wrapText="1"/>
    </xf>
    <xf numFmtId="0" fontId="41" fillId="18" borderId="161" xfId="0" applyFont="1" applyFill="1" applyBorder="1" applyAlignment="1">
      <alignment horizontal="center" vertical="center" wrapText="1"/>
    </xf>
    <xf numFmtId="0" fontId="41" fillId="18" borderId="157" xfId="0" applyFont="1" applyFill="1" applyBorder="1" applyAlignment="1">
      <alignment horizontal="center" vertical="center" wrapText="1"/>
    </xf>
    <xf numFmtId="0" fontId="9" fillId="0" borderId="0" xfId="10" applyFont="1" applyAlignment="1">
      <alignment horizontal="center" vertical="top"/>
    </xf>
    <xf numFmtId="0" fontId="11" fillId="0" borderId="154" xfId="10" applyFont="1" applyBorder="1" applyAlignment="1">
      <alignment horizontal="center" vertical="top"/>
    </xf>
    <xf numFmtId="0" fontId="41" fillId="18" borderId="169" xfId="0" applyFont="1" applyFill="1" applyBorder="1" applyAlignment="1">
      <alignment horizontal="center" vertical="center" wrapText="1"/>
    </xf>
    <xf numFmtId="0" fontId="41" fillId="18" borderId="162" xfId="0" applyFont="1" applyFill="1" applyBorder="1" applyAlignment="1">
      <alignment horizontal="center" vertical="center" wrapText="1"/>
    </xf>
    <xf numFmtId="0" fontId="41" fillId="18" borderId="170" xfId="0" applyFont="1" applyFill="1" applyBorder="1" applyAlignment="1">
      <alignment horizontal="center" vertical="center" wrapText="1"/>
    </xf>
    <xf numFmtId="0" fontId="41" fillId="18" borderId="163" xfId="0" applyFont="1" applyFill="1" applyBorder="1" applyAlignment="1">
      <alignment horizontal="center" vertical="center" wrapText="1"/>
    </xf>
    <xf numFmtId="0" fontId="41" fillId="18" borderId="169" xfId="0" applyFont="1" applyFill="1" applyBorder="1" applyAlignment="1">
      <alignment horizontal="justify" vertical="center" wrapText="1"/>
    </xf>
    <xf numFmtId="0" fontId="41" fillId="18" borderId="170" xfId="0" applyFont="1" applyFill="1" applyBorder="1" applyAlignment="1">
      <alignment horizontal="justify" vertical="center" wrapText="1"/>
    </xf>
    <xf numFmtId="0" fontId="41" fillId="18" borderId="168" xfId="0" applyFont="1" applyFill="1" applyBorder="1" applyAlignment="1">
      <alignment horizontal="justify" vertical="center" wrapText="1"/>
    </xf>
    <xf numFmtId="0" fontId="41" fillId="18" borderId="157" xfId="0" applyFont="1" applyFill="1" applyBorder="1" applyAlignment="1">
      <alignment horizontal="justify" vertical="center" wrapText="1"/>
    </xf>
    <xf numFmtId="0" fontId="41" fillId="18" borderId="165" xfId="0" applyFont="1" applyFill="1" applyBorder="1" applyAlignment="1">
      <alignment horizontal="left" vertical="center" wrapText="1"/>
    </xf>
    <xf numFmtId="0" fontId="41" fillId="18" borderId="167" xfId="0" applyFont="1" applyFill="1" applyBorder="1" applyAlignment="1">
      <alignment horizontal="left" vertical="center" wrapText="1"/>
    </xf>
    <xf numFmtId="0" fontId="45" fillId="16" borderId="52" xfId="10" applyFont="1" applyFill="1" applyBorder="1" applyAlignment="1">
      <alignment horizontal="center" vertical="center" wrapText="1"/>
    </xf>
    <xf numFmtId="0" fontId="45" fillId="16" borderId="43" xfId="10" applyFont="1" applyFill="1" applyBorder="1" applyAlignment="1">
      <alignment horizontal="center" vertical="center" wrapText="1"/>
    </xf>
    <xf numFmtId="0" fontId="45" fillId="16" borderId="47" xfId="10" applyFont="1" applyFill="1" applyBorder="1" applyAlignment="1">
      <alignment horizontal="center" vertical="center" wrapText="1"/>
    </xf>
    <xf numFmtId="0" fontId="45" fillId="16" borderId="48" xfId="10" applyFont="1" applyFill="1" applyBorder="1" applyAlignment="1">
      <alignment horizontal="center" vertical="center" wrapText="1"/>
    </xf>
    <xf numFmtId="0" fontId="45" fillId="16" borderId="50" xfId="10" applyFont="1" applyFill="1" applyBorder="1" applyAlignment="1">
      <alignment horizontal="center" vertical="center" wrapText="1"/>
    </xf>
    <xf numFmtId="0" fontId="45" fillId="16" borderId="45" xfId="10" applyFont="1" applyFill="1" applyBorder="1" applyAlignment="1">
      <alignment horizontal="center" vertical="center" wrapText="1"/>
    </xf>
    <xf numFmtId="0" fontId="45" fillId="16" borderId="117" xfId="10" applyFont="1" applyFill="1" applyBorder="1" applyAlignment="1">
      <alignment horizontal="center" vertical="center" wrapText="1"/>
    </xf>
    <xf numFmtId="0" fontId="45" fillId="16" borderId="118" xfId="10" applyFont="1" applyFill="1" applyBorder="1" applyAlignment="1">
      <alignment horizontal="center" vertical="center" wrapText="1"/>
    </xf>
    <xf numFmtId="0" fontId="47" fillId="0" borderId="117" xfId="10" applyFont="1" applyBorder="1" applyAlignment="1">
      <alignment horizontal="center" vertical="center" wrapText="1"/>
    </xf>
    <xf numFmtId="0" fontId="47" fillId="0" borderId="118" xfId="10" applyFont="1" applyBorder="1" applyAlignment="1">
      <alignment horizontal="center" vertical="center" wrapText="1"/>
    </xf>
    <xf numFmtId="0" fontId="23" fillId="0" borderId="117" xfId="10" applyFont="1" applyBorder="1" applyAlignment="1">
      <alignment horizontal="center" vertical="center" wrapText="1"/>
    </xf>
    <xf numFmtId="0" fontId="47" fillId="0" borderId="119" xfId="10" applyFont="1" applyBorder="1" applyAlignment="1">
      <alignment horizontal="center" vertical="center" wrapText="1"/>
    </xf>
    <xf numFmtId="0" fontId="47" fillId="0" borderId="52" xfId="10" applyFont="1" applyBorder="1" applyAlignment="1">
      <alignment horizontal="center" vertical="center" wrapText="1"/>
    </xf>
    <xf numFmtId="0" fontId="47" fillId="0" borderId="51" xfId="10" applyFont="1" applyBorder="1" applyAlignment="1">
      <alignment horizontal="center" vertical="center" wrapText="1"/>
    </xf>
    <xf numFmtId="0" fontId="47" fillId="0" borderId="43" xfId="10" applyFont="1" applyBorder="1" applyAlignment="1">
      <alignment horizontal="center" vertical="center" wrapText="1"/>
    </xf>
    <xf numFmtId="0" fontId="37" fillId="0" borderId="119" xfId="10" applyBorder="1" applyAlignment="1">
      <alignment horizontal="center" vertical="center" wrapText="1"/>
    </xf>
    <xf numFmtId="0" fontId="37" fillId="0" borderId="118" xfId="10" applyBorder="1" applyAlignment="1">
      <alignment horizontal="center" vertical="center" wrapText="1"/>
    </xf>
    <xf numFmtId="0" fontId="47" fillId="0" borderId="50" xfId="10" applyFont="1" applyBorder="1" applyAlignment="1">
      <alignment horizontal="center" vertical="center" wrapText="1"/>
    </xf>
    <xf numFmtId="0" fontId="47" fillId="0" borderId="45" xfId="10" applyFont="1" applyBorder="1" applyAlignment="1">
      <alignment horizontal="center" vertical="center" wrapText="1"/>
    </xf>
    <xf numFmtId="0" fontId="45" fillId="16" borderId="119" xfId="10" applyFont="1" applyFill="1" applyBorder="1" applyAlignment="1">
      <alignment horizontal="center" vertical="center" wrapText="1"/>
    </xf>
    <xf numFmtId="0" fontId="47" fillId="0" borderId="0" xfId="10" applyFont="1" applyAlignment="1">
      <alignment horizontal="center" vertical="center" wrapText="1"/>
    </xf>
    <xf numFmtId="173" fontId="48" fillId="0" borderId="49" xfId="10" applyNumberFormat="1" applyFont="1" applyBorder="1" applyAlignment="1">
      <alignment horizontal="center" vertical="center" wrapText="1"/>
    </xf>
    <xf numFmtId="173" fontId="48" fillId="0" borderId="51" xfId="10" applyNumberFormat="1" applyFont="1" applyBorder="1" applyAlignment="1">
      <alignment horizontal="center" vertical="center" wrapText="1"/>
    </xf>
    <xf numFmtId="0" fontId="45" fillId="16" borderId="119" xfId="10" applyFont="1" applyFill="1" applyBorder="1" applyAlignment="1">
      <alignment horizontal="left" vertical="top" wrapText="1"/>
    </xf>
    <xf numFmtId="0" fontId="45" fillId="0" borderId="119" xfId="10" applyFont="1" applyBorder="1" applyAlignment="1">
      <alignment horizontal="center" vertical="center" wrapText="1"/>
    </xf>
    <xf numFmtId="0" fontId="45" fillId="0" borderId="117" xfId="10" applyFont="1" applyBorder="1" applyAlignment="1">
      <alignment horizontal="center" vertical="center" wrapText="1"/>
    </xf>
    <xf numFmtId="0" fontId="45" fillId="0" borderId="118" xfId="10" applyFont="1" applyBorder="1" applyAlignment="1">
      <alignment horizontal="center" vertical="center" wrapText="1"/>
    </xf>
    <xf numFmtId="173" fontId="48" fillId="0" borderId="47" xfId="10" applyNumberFormat="1" applyFont="1" applyBorder="1" applyAlignment="1">
      <alignment horizontal="center" vertical="center" wrapText="1"/>
    </xf>
    <xf numFmtId="173" fontId="48" fillId="0" borderId="52" xfId="10" applyNumberFormat="1" applyFont="1" applyBorder="1" applyAlignment="1">
      <alignment horizontal="center" vertical="center" wrapText="1"/>
    </xf>
    <xf numFmtId="0" fontId="23" fillId="0" borderId="0" xfId="10" applyFont="1" applyAlignment="1">
      <alignment horizontal="center" vertical="center" wrapText="1"/>
    </xf>
    <xf numFmtId="173" fontId="48" fillId="0" borderId="48" xfId="10" applyNumberFormat="1" applyFont="1" applyBorder="1" applyAlignment="1">
      <alignment horizontal="center" vertical="center" wrapText="1"/>
    </xf>
    <xf numFmtId="173" fontId="48" fillId="0" borderId="43" xfId="10" applyNumberFormat="1" applyFont="1" applyBorder="1" applyAlignment="1">
      <alignment horizontal="center" vertical="center" wrapText="1"/>
    </xf>
    <xf numFmtId="0" fontId="45" fillId="0" borderId="119" xfId="10" applyFont="1" applyBorder="1" applyAlignment="1">
      <alignment horizontal="right" vertical="center" wrapText="1"/>
    </xf>
    <xf numFmtId="173" fontId="49" fillId="0" borderId="117" xfId="10" applyNumberFormat="1" applyFont="1" applyBorder="1" applyAlignment="1">
      <alignment horizontal="center" vertical="center" wrapText="1"/>
    </xf>
    <xf numFmtId="173" fontId="49" fillId="0" borderId="118" xfId="10" applyNumberFormat="1" applyFont="1" applyBorder="1" applyAlignment="1">
      <alignment horizontal="center" vertical="center" wrapText="1"/>
    </xf>
    <xf numFmtId="173" fontId="48" fillId="0" borderId="117" xfId="10" applyNumberFormat="1" applyFont="1" applyBorder="1" applyAlignment="1">
      <alignment horizontal="center" vertical="center" wrapText="1"/>
    </xf>
    <xf numFmtId="173" fontId="48" fillId="0" borderId="118" xfId="10" applyNumberFormat="1" applyFont="1" applyBorder="1" applyAlignment="1">
      <alignment horizontal="center" vertical="center" wrapText="1"/>
    </xf>
    <xf numFmtId="0" fontId="47" fillId="0" borderId="119" xfId="10" applyFont="1" applyBorder="1" applyAlignment="1">
      <alignment horizontal="left" vertical="top" wrapText="1"/>
    </xf>
    <xf numFmtId="0" fontId="47" fillId="0" borderId="45" xfId="10" applyFont="1" applyBorder="1" applyAlignment="1">
      <alignment horizontal="center" wrapText="1"/>
    </xf>
    <xf numFmtId="0" fontId="39" fillId="0" borderId="119" xfId="10" applyFont="1" applyBorder="1" applyAlignment="1">
      <alignment horizontal="center" vertical="top"/>
    </xf>
    <xf numFmtId="0" fontId="39" fillId="0" borderId="45" xfId="10" applyFont="1" applyBorder="1" applyAlignment="1">
      <alignment horizontal="center" vertical="top"/>
    </xf>
    <xf numFmtId="0" fontId="38" fillId="0" borderId="0" xfId="10" applyFont="1" applyAlignment="1">
      <alignment horizontal="center" vertical="top"/>
    </xf>
    <xf numFmtId="0" fontId="11" fillId="0" borderId="45" xfId="10" applyFont="1" applyBorder="1" applyAlignment="1">
      <alignment horizontal="center" vertical="top"/>
    </xf>
    <xf numFmtId="0" fontId="37" fillId="16" borderId="119" xfId="10" applyFill="1" applyBorder="1" applyAlignment="1">
      <alignment horizontal="left" vertical="top" wrapText="1"/>
    </xf>
    <xf numFmtId="173" fontId="46" fillId="16" borderId="117" xfId="10" applyNumberFormat="1" applyFont="1" applyFill="1" applyBorder="1" applyAlignment="1">
      <alignment horizontal="center" vertical="center" wrapText="1"/>
    </xf>
    <xf numFmtId="173" fontId="46" fillId="16" borderId="118" xfId="10" applyNumberFormat="1" applyFont="1" applyFill="1" applyBorder="1" applyAlignment="1">
      <alignment horizontal="center" vertical="center" wrapText="1"/>
    </xf>
    <xf numFmtId="0" fontId="6" fillId="10" borderId="110" xfId="0" applyFont="1" applyFill="1" applyBorder="1" applyAlignment="1" applyProtection="1">
      <alignment horizontal="center" vertical="center"/>
      <protection locked="0"/>
    </xf>
    <xf numFmtId="0" fontId="6" fillId="10" borderId="100" xfId="0" applyFont="1" applyFill="1" applyBorder="1" applyAlignment="1" applyProtection="1">
      <alignment horizontal="center" vertical="center"/>
      <protection locked="0"/>
    </xf>
    <xf numFmtId="0" fontId="54" fillId="0" borderId="5" xfId="0" applyFont="1" applyBorder="1" applyAlignment="1" applyProtection="1">
      <alignment horizontal="center" vertical="center" wrapText="1"/>
      <protection locked="0"/>
    </xf>
    <xf numFmtId="0" fontId="54" fillId="0" borderId="156" xfId="0" applyFont="1" applyBorder="1" applyAlignment="1" applyProtection="1">
      <alignment horizontal="center" vertical="center" wrapText="1"/>
      <protection locked="0"/>
    </xf>
    <xf numFmtId="0" fontId="54" fillId="10" borderId="100" xfId="0" applyFont="1" applyFill="1" applyBorder="1" applyAlignment="1" applyProtection="1">
      <alignment horizontal="center" vertical="center"/>
      <protection locked="0"/>
    </xf>
    <xf numFmtId="0" fontId="53" fillId="10" borderId="134" xfId="0" applyFont="1" applyFill="1" applyBorder="1" applyAlignment="1" applyProtection="1">
      <alignment horizontal="center" vertical="center"/>
      <protection locked="0"/>
    </xf>
    <xf numFmtId="0" fontId="53" fillId="10" borderId="135" xfId="0" applyFont="1" applyFill="1" applyBorder="1" applyAlignment="1" applyProtection="1">
      <alignment horizontal="center" vertical="center"/>
      <protection locked="0"/>
    </xf>
    <xf numFmtId="0" fontId="53" fillId="10" borderId="136" xfId="0" applyFont="1" applyFill="1" applyBorder="1" applyAlignment="1" applyProtection="1">
      <alignment horizontal="center" vertical="center"/>
      <protection locked="0"/>
    </xf>
    <xf numFmtId="0" fontId="54" fillId="10" borderId="3" xfId="0" applyFont="1" applyFill="1" applyBorder="1" applyAlignment="1" applyProtection="1">
      <alignment horizontal="center" vertical="center"/>
      <protection locked="0"/>
    </xf>
    <xf numFmtId="0" fontId="54" fillId="10" borderId="100" xfId="0" applyFont="1" applyFill="1" applyBorder="1" applyAlignment="1" applyProtection="1">
      <alignment horizontal="center" vertical="center" wrapText="1"/>
      <protection locked="0"/>
    </xf>
    <xf numFmtId="0" fontId="54" fillId="10" borderId="137" xfId="0" applyFont="1" applyFill="1" applyBorder="1" applyAlignment="1" applyProtection="1">
      <alignment horizontal="center" vertical="center"/>
      <protection locked="0"/>
    </xf>
    <xf numFmtId="0" fontId="64" fillId="0" borderId="141" xfId="0" applyFont="1" applyBorder="1" applyAlignment="1">
      <alignment horizontal="center" wrapText="1"/>
    </xf>
    <xf numFmtId="0" fontId="64" fillId="0" borderId="1" xfId="0" applyFont="1" applyBorder="1" applyAlignment="1">
      <alignment horizontal="center" wrapText="1"/>
    </xf>
    <xf numFmtId="0" fontId="64" fillId="0" borderId="2" xfId="0" applyFont="1" applyBorder="1" applyAlignment="1">
      <alignment horizontal="center" wrapText="1"/>
    </xf>
    <xf numFmtId="0" fontId="64" fillId="0" borderId="129" xfId="0" applyFont="1" applyBorder="1" applyAlignment="1">
      <alignment horizontal="center" wrapText="1"/>
    </xf>
    <xf numFmtId="0" fontId="64" fillId="0" borderId="130" xfId="0" applyFont="1" applyBorder="1" applyAlignment="1">
      <alignment horizontal="center" wrapText="1"/>
    </xf>
    <xf numFmtId="0" fontId="64" fillId="0" borderId="142" xfId="0" applyFont="1" applyBorder="1" applyAlignment="1">
      <alignment horizontal="center" wrapText="1"/>
    </xf>
    <xf numFmtId="0" fontId="64" fillId="0" borderId="143" xfId="0" applyFont="1" applyBorder="1" applyAlignment="1">
      <alignment horizontal="center" wrapText="1"/>
    </xf>
    <xf numFmtId="0" fontId="64" fillId="0" borderId="144" xfId="0" applyFont="1" applyBorder="1" applyAlignment="1">
      <alignment horizontal="center" wrapText="1"/>
    </xf>
    <xf numFmtId="0" fontId="64" fillId="0" borderId="142" xfId="0" applyFont="1" applyBorder="1" applyAlignment="1">
      <alignment horizontal="left" vertical="top" wrapText="1"/>
    </xf>
    <xf numFmtId="0" fontId="64" fillId="0" borderId="143" xfId="0" applyFont="1" applyBorder="1" applyAlignment="1">
      <alignment horizontal="left" vertical="top" wrapText="1"/>
    </xf>
    <xf numFmtId="0" fontId="64" fillId="0" borderId="144" xfId="0" applyFont="1" applyBorder="1" applyAlignment="1">
      <alignment horizontal="left" vertical="top" wrapText="1"/>
    </xf>
    <xf numFmtId="0" fontId="64" fillId="0" borderId="110" xfId="0" applyFont="1" applyBorder="1" applyAlignment="1">
      <alignment horizontal="center" vertical="center" wrapText="1"/>
    </xf>
    <xf numFmtId="0" fontId="66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/>
    </xf>
    <xf numFmtId="0" fontId="67" fillId="0" borderId="110" xfId="0" applyFont="1" applyBorder="1" applyAlignment="1">
      <alignment horizontal="center" vertical="center" wrapText="1"/>
    </xf>
    <xf numFmtId="0" fontId="64" fillId="0" borderId="129" xfId="0" applyFont="1" applyBorder="1" applyAlignment="1">
      <alignment horizontal="center" vertical="center" wrapText="1"/>
    </xf>
    <xf numFmtId="0" fontId="64" fillId="0" borderId="130" xfId="0" applyFont="1" applyBorder="1" applyAlignment="1">
      <alignment horizontal="center" vertical="center" wrapText="1"/>
    </xf>
    <xf numFmtId="0" fontId="64" fillId="0" borderId="101" xfId="0" applyFont="1" applyBorder="1" applyAlignment="1">
      <alignment horizontal="center" vertical="center" wrapText="1"/>
    </xf>
    <xf numFmtId="0" fontId="64" fillId="0" borderId="139" xfId="0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7" fillId="0" borderId="0" xfId="0" applyFont="1" applyAlignment="1">
      <alignment horizontal="center"/>
    </xf>
    <xf numFmtId="0" fontId="57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4" fillId="0" borderId="107" xfId="0" applyFont="1" applyBorder="1" applyAlignment="1">
      <alignment horizontal="center" vertical="center" wrapText="1"/>
    </xf>
    <xf numFmtId="0" fontId="71" fillId="0" borderId="147" xfId="0" applyFont="1" applyBorder="1" applyAlignment="1">
      <alignment horizontal="center" vertical="center" wrapText="1"/>
    </xf>
    <xf numFmtId="0" fontId="71" fillId="0" borderId="150" xfId="0" applyFont="1" applyBorder="1" applyAlignment="1">
      <alignment horizontal="center" vertical="center" wrapText="1"/>
    </xf>
    <xf numFmtId="0" fontId="70" fillId="0" borderId="151" xfId="0" applyFont="1" applyBorder="1" applyAlignment="1">
      <alignment horizontal="left" vertical="top" wrapText="1"/>
    </xf>
    <xf numFmtId="0" fontId="70" fillId="0" borderId="152" xfId="0" applyFont="1" applyBorder="1" applyAlignment="1">
      <alignment horizontal="left" vertical="top" wrapText="1"/>
    </xf>
    <xf numFmtId="0" fontId="70" fillId="0" borderId="10" xfId="0" applyFont="1" applyBorder="1" applyAlignment="1">
      <alignment horizontal="left" vertical="top" wrapText="1"/>
    </xf>
    <xf numFmtId="0" fontId="70" fillId="0" borderId="153" xfId="0" applyFont="1" applyBorder="1" applyAlignment="1">
      <alignment horizontal="left" vertical="top" wrapText="1"/>
    </xf>
    <xf numFmtId="0" fontId="69" fillId="0" borderId="0" xfId="0" applyFont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0" xfId="0" applyFont="1" applyAlignment="1">
      <alignment horizontal="center" vertical="center" wrapText="1"/>
    </xf>
    <xf numFmtId="0" fontId="57" fillId="0" borderId="0" xfId="0" applyFont="1" applyAlignment="1">
      <alignment horizontal="center" wrapText="1"/>
    </xf>
    <xf numFmtId="0" fontId="57" fillId="0" borderId="145" xfId="0" applyFont="1" applyBorder="1" applyAlignment="1">
      <alignment horizontal="center" vertical="center" wrapText="1"/>
    </xf>
    <xf numFmtId="0" fontId="57" fillId="0" borderId="148" xfId="0" applyFont="1" applyBorder="1" applyAlignment="1">
      <alignment horizontal="center" vertical="center" wrapText="1"/>
    </xf>
    <xf numFmtId="0" fontId="57" fillId="0" borderId="89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57" fillId="0" borderId="146" xfId="0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57" fillId="0" borderId="149" xfId="0" applyFont="1" applyBorder="1" applyAlignment="1">
      <alignment horizontal="center" vertical="center" wrapText="1"/>
    </xf>
    <xf numFmtId="0" fontId="77" fillId="0" borderId="110" xfId="0" applyFont="1" applyBorder="1" applyAlignment="1">
      <alignment horizontal="center" vertical="center"/>
    </xf>
    <xf numFmtId="0" fontId="80" fillId="0" borderId="14" xfId="0" applyFont="1" applyBorder="1" applyAlignment="1">
      <alignment horizontal="center" vertical="top"/>
    </xf>
    <xf numFmtId="0" fontId="79" fillId="17" borderId="110" xfId="0" applyFont="1" applyFill="1" applyBorder="1" applyAlignment="1">
      <alignment horizontal="center" vertical="center" wrapText="1"/>
    </xf>
    <xf numFmtId="0" fontId="79" fillId="17" borderId="107" xfId="0" applyFont="1" applyFill="1" applyBorder="1" applyAlignment="1">
      <alignment horizontal="center" vertical="center"/>
    </xf>
    <xf numFmtId="0" fontId="79" fillId="17" borderId="130" xfId="0" applyFont="1" applyFill="1" applyBorder="1" applyAlignment="1">
      <alignment horizontal="center" vertical="center"/>
    </xf>
    <xf numFmtId="0" fontId="79" fillId="17" borderId="110" xfId="0" applyFont="1" applyFill="1" applyBorder="1" applyAlignment="1">
      <alignment horizontal="center" vertical="center"/>
    </xf>
    <xf numFmtId="0" fontId="72" fillId="0" borderId="110" xfId="0" applyFont="1" applyBorder="1" applyAlignment="1">
      <alignment horizontal="center" vertical="center"/>
    </xf>
    <xf numFmtId="0" fontId="72" fillId="0" borderId="107" xfId="0" applyFont="1" applyBorder="1" applyAlignment="1">
      <alignment horizontal="center" vertical="center" wrapText="1"/>
    </xf>
    <xf numFmtId="0" fontId="72" fillId="0" borderId="130" xfId="0" applyFont="1" applyBorder="1" applyAlignment="1">
      <alignment horizontal="center" vertical="center" wrapText="1"/>
    </xf>
    <xf numFmtId="0" fontId="72" fillId="0" borderId="140" xfId="0" applyFont="1" applyBorder="1" applyAlignment="1">
      <alignment horizontal="center" vertical="center" wrapText="1"/>
    </xf>
    <xf numFmtId="0" fontId="72" fillId="0" borderId="149" xfId="0" applyFont="1" applyBorder="1" applyAlignment="1">
      <alignment horizontal="center" vertical="center" wrapText="1"/>
    </xf>
    <xf numFmtId="0" fontId="74" fillId="0" borderId="110" xfId="0" applyFont="1" applyBorder="1" applyAlignment="1">
      <alignment horizontal="center" vertical="center"/>
    </xf>
    <xf numFmtId="0" fontId="32" fillId="0" borderId="110" xfId="0" applyFont="1" applyBorder="1" applyAlignment="1">
      <alignment horizontal="center" vertical="center"/>
    </xf>
    <xf numFmtId="0" fontId="72" fillId="0" borderId="142" xfId="0" applyFont="1" applyBorder="1" applyAlignment="1">
      <alignment horizontal="center" vertical="center" wrapText="1"/>
    </xf>
    <xf numFmtId="0" fontId="72" fillId="0" borderId="144" xfId="0" applyFont="1" applyBorder="1" applyAlignment="1">
      <alignment horizontal="center" vertical="center" wrapText="1"/>
    </xf>
    <xf numFmtId="0" fontId="72" fillId="0" borderId="141" xfId="0" applyFont="1" applyBorder="1" applyAlignment="1">
      <alignment horizontal="center" vertical="center" wrapText="1"/>
    </xf>
    <xf numFmtId="0" fontId="72" fillId="0" borderId="2" xfId="0" applyFont="1" applyBorder="1" applyAlignment="1">
      <alignment horizontal="center" vertical="center" wrapText="1"/>
    </xf>
    <xf numFmtId="0" fontId="72" fillId="0" borderId="107" xfId="0" applyFont="1" applyBorder="1" applyAlignment="1">
      <alignment horizontal="center" vertical="center"/>
    </xf>
    <xf numFmtId="0" fontId="72" fillId="0" borderId="130" xfId="0" applyFont="1" applyBorder="1" applyAlignment="1">
      <alignment horizontal="center" vertical="center"/>
    </xf>
    <xf numFmtId="0" fontId="72" fillId="0" borderId="110" xfId="0" applyFont="1" applyBorder="1" applyAlignment="1">
      <alignment horizontal="center" vertical="center" wrapText="1"/>
    </xf>
    <xf numFmtId="0" fontId="72" fillId="0" borderId="107" xfId="0" applyFont="1" applyBorder="1" applyAlignment="1">
      <alignment horizontal="center"/>
    </xf>
    <xf numFmtId="0" fontId="72" fillId="0" borderId="130" xfId="0" applyFont="1" applyBorder="1" applyAlignment="1">
      <alignment horizontal="center"/>
    </xf>
    <xf numFmtId="0" fontId="77" fillId="0" borderId="140" xfId="0" applyFont="1" applyBorder="1" applyAlignment="1">
      <alignment horizontal="center" vertical="center"/>
    </xf>
    <xf numFmtId="0" fontId="77" fillId="0" borderId="4" xfId="0" applyFont="1" applyBorder="1" applyAlignment="1">
      <alignment horizontal="center" vertical="center"/>
    </xf>
    <xf numFmtId="0" fontId="77" fillId="0" borderId="149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 wrapText="1"/>
    </xf>
    <xf numFmtId="0" fontId="6" fillId="0" borderId="129" xfId="0" applyFont="1" applyBorder="1" applyAlignment="1">
      <alignment horizontal="center" vertical="center" wrapText="1"/>
    </xf>
    <xf numFmtId="0" fontId="53" fillId="0" borderId="110" xfId="0" applyFont="1" applyBorder="1" applyAlignment="1">
      <alignment horizontal="center" vertical="center"/>
    </xf>
    <xf numFmtId="0" fontId="53" fillId="0" borderId="107" xfId="0" applyFont="1" applyBorder="1" applyAlignment="1">
      <alignment horizontal="center"/>
    </xf>
    <xf numFmtId="0" fontId="53" fillId="0" borderId="130" xfId="0" applyFont="1" applyBorder="1" applyAlignment="1">
      <alignment horizontal="center"/>
    </xf>
    <xf numFmtId="0" fontId="73" fillId="0" borderId="107" xfId="0" applyFont="1" applyBorder="1" applyAlignment="1">
      <alignment horizontal="center" vertical="center" wrapText="1"/>
    </xf>
    <xf numFmtId="0" fontId="73" fillId="0" borderId="130" xfId="0" applyFont="1" applyBorder="1" applyAlignment="1">
      <alignment horizontal="center" vertical="center" wrapText="1"/>
    </xf>
    <xf numFmtId="0" fontId="32" fillId="0" borderId="110" xfId="0" applyFont="1" applyBorder="1" applyAlignment="1">
      <alignment horizontal="left" vertical="center"/>
    </xf>
  </cellXfs>
  <cellStyles count="12">
    <cellStyle name="Excel Built-in Comma 1" xfId="5" xr:uid="{00000000-0005-0000-0000-000000000000}"/>
    <cellStyle name="Excel Built-in Normal" xfId="4" xr:uid="{00000000-0005-0000-0000-000001000000}"/>
    <cellStyle name="Hiperlink" xfId="11" builtinId="8"/>
    <cellStyle name="Moeda" xfId="2" builtinId="4"/>
    <cellStyle name="Normal" xfId="0" builtinId="0"/>
    <cellStyle name="Normal 2" xfId="8" xr:uid="{00000000-0005-0000-0000-000004000000}"/>
    <cellStyle name="Normal 3" xfId="10" xr:uid="{9A2FD91E-D9F6-4D16-996C-1D0958DBB910}"/>
    <cellStyle name="Porcentagem" xfId="3" builtinId="5"/>
    <cellStyle name="Porcentagem 2" xfId="7" xr:uid="{00000000-0005-0000-0000-000006000000}"/>
    <cellStyle name="Separador de milhares 2" xfId="9" xr:uid="{00000000-0005-0000-0000-000007000000}"/>
    <cellStyle name="Vírgula" xfId="1" builtinId="3"/>
    <cellStyle name="Vírgula 2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94D0F454-F074-40CA-9CF3-72B6F8FD778D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BC70A23E-C9F5-465F-84AD-A73FA0E38D7A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8F945626-52E3-46BC-B85D-1A49C49D792A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>
          <a:extLst>
            <a:ext uri="{FF2B5EF4-FFF2-40B4-BE49-F238E27FC236}">
              <a16:creationId xmlns:a16="http://schemas.microsoft.com/office/drawing/2014/main" id="{9FD992F3-2D1E-44B7-8CE3-B1C4FEDBB249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242048</xdr:colOff>
      <xdr:row>0</xdr:row>
      <xdr:rowOff>107576</xdr:rowOff>
    </xdr:from>
    <xdr:to>
      <xdr:col>2</xdr:col>
      <xdr:colOff>2849881</xdr:colOff>
      <xdr:row>3</xdr:row>
      <xdr:rowOff>107190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3AD9162-1C20-4CC1-A7B0-465EF0430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9930" y="107576"/>
          <a:ext cx="4069080" cy="5643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102</xdr:row>
      <xdr:rowOff>228600</xdr:rowOff>
    </xdr:from>
    <xdr:to>
      <xdr:col>0</xdr:col>
      <xdr:colOff>285750</xdr:colOff>
      <xdr:row>102</xdr:row>
      <xdr:rowOff>495300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F4CF626B-1737-4ECD-9D02-B3EB77AA3BA8}"/>
            </a:ext>
          </a:extLst>
        </xdr:cNvPr>
        <xdr:cNvSpPr>
          <a:spLocks noChangeArrowheads="1"/>
        </xdr:cNvSpPr>
      </xdr:nvSpPr>
      <xdr:spPr bwMode="auto">
        <a:xfrm>
          <a:off x="114300" y="296646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102</xdr:row>
      <xdr:rowOff>228600</xdr:rowOff>
    </xdr:from>
    <xdr:to>
      <xdr:col>0</xdr:col>
      <xdr:colOff>847725</xdr:colOff>
      <xdr:row>102</xdr:row>
      <xdr:rowOff>495300</xdr:rowOff>
    </xdr:to>
    <xdr:sp macro="" textlink="">
      <xdr:nvSpPr>
        <xdr:cNvPr id="3" name="CaixaDeTexto 9">
          <a:extLst>
            <a:ext uri="{FF2B5EF4-FFF2-40B4-BE49-F238E27FC236}">
              <a16:creationId xmlns:a16="http://schemas.microsoft.com/office/drawing/2014/main" id="{7BE7F3A1-D97A-4BCA-ABAF-16EF14354780}"/>
            </a:ext>
          </a:extLst>
        </xdr:cNvPr>
        <xdr:cNvSpPr>
          <a:spLocks noChangeArrowheads="1"/>
        </xdr:cNvSpPr>
      </xdr:nvSpPr>
      <xdr:spPr bwMode="auto">
        <a:xfrm>
          <a:off x="613410" y="296646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221C639A-CBB0-4E61-A82B-906697A0C625}"/>
            </a:ext>
          </a:extLst>
        </xdr:cNvPr>
        <xdr:cNvSpPr>
          <a:spLocks noChangeArrowheads="1"/>
        </xdr:cNvSpPr>
      </xdr:nvSpPr>
      <xdr:spPr bwMode="auto">
        <a:xfrm>
          <a:off x="114300" y="15087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5" name="CaixaDeTexto 9">
          <a:extLst>
            <a:ext uri="{FF2B5EF4-FFF2-40B4-BE49-F238E27FC236}">
              <a16:creationId xmlns:a16="http://schemas.microsoft.com/office/drawing/2014/main" id="{A28E1E02-781D-46CA-84C9-42019A6BEB3F}"/>
            </a:ext>
          </a:extLst>
        </xdr:cNvPr>
        <xdr:cNvSpPr>
          <a:spLocks noChangeArrowheads="1"/>
        </xdr:cNvSpPr>
      </xdr:nvSpPr>
      <xdr:spPr bwMode="auto">
        <a:xfrm>
          <a:off x="613410" y="15087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22</xdr:row>
      <xdr:rowOff>228600</xdr:rowOff>
    </xdr:from>
    <xdr:to>
      <xdr:col>0</xdr:col>
      <xdr:colOff>285750</xdr:colOff>
      <xdr:row>22</xdr:row>
      <xdr:rowOff>495300</xdr:rowOff>
    </xdr:to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21BA312C-F682-4269-B5D4-7A057B15D7A6}"/>
            </a:ext>
          </a:extLst>
        </xdr:cNvPr>
        <xdr:cNvSpPr>
          <a:spLocks noChangeArrowheads="1"/>
        </xdr:cNvSpPr>
      </xdr:nvSpPr>
      <xdr:spPr bwMode="auto">
        <a:xfrm>
          <a:off x="114300" y="804672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22</xdr:row>
      <xdr:rowOff>228600</xdr:rowOff>
    </xdr:from>
    <xdr:to>
      <xdr:col>0</xdr:col>
      <xdr:colOff>847725</xdr:colOff>
      <xdr:row>22</xdr:row>
      <xdr:rowOff>495300</xdr:rowOff>
    </xdr:to>
    <xdr:sp macro="" textlink="">
      <xdr:nvSpPr>
        <xdr:cNvPr id="7" name="CaixaDeTexto 9">
          <a:extLst>
            <a:ext uri="{FF2B5EF4-FFF2-40B4-BE49-F238E27FC236}">
              <a16:creationId xmlns:a16="http://schemas.microsoft.com/office/drawing/2014/main" id="{BF5B9E01-9A32-4B39-9BA4-E953F4CC94F0}"/>
            </a:ext>
          </a:extLst>
        </xdr:cNvPr>
        <xdr:cNvSpPr>
          <a:spLocks noChangeArrowheads="1"/>
        </xdr:cNvSpPr>
      </xdr:nvSpPr>
      <xdr:spPr bwMode="auto">
        <a:xfrm>
          <a:off x="613410" y="804672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42</xdr:row>
      <xdr:rowOff>228600</xdr:rowOff>
    </xdr:from>
    <xdr:to>
      <xdr:col>0</xdr:col>
      <xdr:colOff>285750</xdr:colOff>
      <xdr:row>42</xdr:row>
      <xdr:rowOff>495300</xdr:rowOff>
    </xdr:to>
    <xdr:sp macro="" textlink="">
      <xdr:nvSpPr>
        <xdr:cNvPr id="8" name="CaixaDeTexto 2">
          <a:extLst>
            <a:ext uri="{FF2B5EF4-FFF2-40B4-BE49-F238E27FC236}">
              <a16:creationId xmlns:a16="http://schemas.microsoft.com/office/drawing/2014/main" id="{EEA7ABFC-D499-45CC-920A-063D0574F24F}"/>
            </a:ext>
          </a:extLst>
        </xdr:cNvPr>
        <xdr:cNvSpPr>
          <a:spLocks noChangeArrowheads="1"/>
        </xdr:cNvSpPr>
      </xdr:nvSpPr>
      <xdr:spPr bwMode="auto">
        <a:xfrm>
          <a:off x="114300" y="1383030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42</xdr:row>
      <xdr:rowOff>228600</xdr:rowOff>
    </xdr:from>
    <xdr:to>
      <xdr:col>0</xdr:col>
      <xdr:colOff>847725</xdr:colOff>
      <xdr:row>42</xdr:row>
      <xdr:rowOff>495300</xdr:rowOff>
    </xdr:to>
    <xdr:sp macro="" textlink="">
      <xdr:nvSpPr>
        <xdr:cNvPr id="9" name="CaixaDeTexto 9">
          <a:extLst>
            <a:ext uri="{FF2B5EF4-FFF2-40B4-BE49-F238E27FC236}">
              <a16:creationId xmlns:a16="http://schemas.microsoft.com/office/drawing/2014/main" id="{C84577F3-C61A-44CF-B28F-8072B7533AAF}"/>
            </a:ext>
          </a:extLst>
        </xdr:cNvPr>
        <xdr:cNvSpPr>
          <a:spLocks noChangeArrowheads="1"/>
        </xdr:cNvSpPr>
      </xdr:nvSpPr>
      <xdr:spPr bwMode="auto">
        <a:xfrm>
          <a:off x="613410" y="1383030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62</xdr:row>
      <xdr:rowOff>228600</xdr:rowOff>
    </xdr:from>
    <xdr:to>
      <xdr:col>0</xdr:col>
      <xdr:colOff>285750</xdr:colOff>
      <xdr:row>62</xdr:row>
      <xdr:rowOff>495300</xdr:rowOff>
    </xdr:to>
    <xdr:sp macro="" textlink="">
      <xdr:nvSpPr>
        <xdr:cNvPr id="10" name="CaixaDeTexto 2">
          <a:extLst>
            <a:ext uri="{FF2B5EF4-FFF2-40B4-BE49-F238E27FC236}">
              <a16:creationId xmlns:a16="http://schemas.microsoft.com/office/drawing/2014/main" id="{12B17366-6E8F-4EA9-A7C6-47061DF6EC23}"/>
            </a:ext>
          </a:extLst>
        </xdr:cNvPr>
        <xdr:cNvSpPr>
          <a:spLocks noChangeArrowheads="1"/>
        </xdr:cNvSpPr>
      </xdr:nvSpPr>
      <xdr:spPr bwMode="auto">
        <a:xfrm>
          <a:off x="114300" y="19613880"/>
          <a:ext cx="171450" cy="15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62</xdr:row>
      <xdr:rowOff>228600</xdr:rowOff>
    </xdr:from>
    <xdr:to>
      <xdr:col>0</xdr:col>
      <xdr:colOff>847725</xdr:colOff>
      <xdr:row>62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1E1C4006-52C3-47B7-8519-7A56FE4462BF}"/>
            </a:ext>
          </a:extLst>
        </xdr:cNvPr>
        <xdr:cNvSpPr>
          <a:spLocks noChangeArrowheads="1"/>
        </xdr:cNvSpPr>
      </xdr:nvSpPr>
      <xdr:spPr bwMode="auto">
        <a:xfrm>
          <a:off x="613410" y="19613880"/>
          <a:ext cx="5715" cy="15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82</xdr:row>
      <xdr:rowOff>228600</xdr:rowOff>
    </xdr:from>
    <xdr:to>
      <xdr:col>0</xdr:col>
      <xdr:colOff>285750</xdr:colOff>
      <xdr:row>82</xdr:row>
      <xdr:rowOff>495300</xdr:rowOff>
    </xdr:to>
    <xdr:sp macro="" textlink="">
      <xdr:nvSpPr>
        <xdr:cNvPr id="12" name="CaixaDeTexto 2">
          <a:extLst>
            <a:ext uri="{FF2B5EF4-FFF2-40B4-BE49-F238E27FC236}">
              <a16:creationId xmlns:a16="http://schemas.microsoft.com/office/drawing/2014/main" id="{2091E667-6F4B-4F72-B727-8B1706076466}"/>
            </a:ext>
          </a:extLst>
        </xdr:cNvPr>
        <xdr:cNvSpPr>
          <a:spLocks noChangeArrowheads="1"/>
        </xdr:cNvSpPr>
      </xdr:nvSpPr>
      <xdr:spPr bwMode="auto">
        <a:xfrm>
          <a:off x="114300" y="246354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71EB70B1-7015-4A05-A7E7-FBA16A4AA8D1}"/>
            </a:ext>
          </a:extLst>
        </xdr:cNvPr>
        <xdr:cNvSpPr>
          <a:spLocks noChangeArrowheads="1"/>
        </xdr:cNvSpPr>
      </xdr:nvSpPr>
      <xdr:spPr bwMode="auto">
        <a:xfrm>
          <a:off x="613410" y="246354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E84364BF-E06E-4C8E-9DB2-ABF99C40FAD1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BB4E2D-8C3D-4D91-A938-43AD5B571AAD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F7F875F0-765B-425F-88AF-35F3105B2C51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>
          <a:extLst>
            <a:ext uri="{FF2B5EF4-FFF2-40B4-BE49-F238E27FC236}">
              <a16:creationId xmlns:a16="http://schemas.microsoft.com/office/drawing/2014/main" id="{4DAE3EB1-7909-46A5-A813-4E368ACA4AE8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102</xdr:row>
      <xdr:rowOff>228600</xdr:rowOff>
    </xdr:from>
    <xdr:to>
      <xdr:col>0</xdr:col>
      <xdr:colOff>285750</xdr:colOff>
      <xdr:row>102</xdr:row>
      <xdr:rowOff>495300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FE5812CE-DDC9-4617-B953-646A39DE7237}"/>
            </a:ext>
          </a:extLst>
        </xdr:cNvPr>
        <xdr:cNvSpPr>
          <a:spLocks noChangeArrowheads="1"/>
        </xdr:cNvSpPr>
      </xdr:nvSpPr>
      <xdr:spPr bwMode="auto">
        <a:xfrm>
          <a:off x="114300" y="296646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102</xdr:row>
      <xdr:rowOff>228600</xdr:rowOff>
    </xdr:from>
    <xdr:to>
      <xdr:col>0</xdr:col>
      <xdr:colOff>847725</xdr:colOff>
      <xdr:row>102</xdr:row>
      <xdr:rowOff>495300</xdr:rowOff>
    </xdr:to>
    <xdr:sp macro="" textlink="">
      <xdr:nvSpPr>
        <xdr:cNvPr id="3" name="CaixaDeTexto 9">
          <a:extLst>
            <a:ext uri="{FF2B5EF4-FFF2-40B4-BE49-F238E27FC236}">
              <a16:creationId xmlns:a16="http://schemas.microsoft.com/office/drawing/2014/main" id="{1768DDAC-BE77-4E8C-AE57-89E28D676442}"/>
            </a:ext>
          </a:extLst>
        </xdr:cNvPr>
        <xdr:cNvSpPr>
          <a:spLocks noChangeArrowheads="1"/>
        </xdr:cNvSpPr>
      </xdr:nvSpPr>
      <xdr:spPr bwMode="auto">
        <a:xfrm>
          <a:off x="613410" y="296646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5100E80D-6410-4D84-B118-E9918B5C9BC5}"/>
            </a:ext>
          </a:extLst>
        </xdr:cNvPr>
        <xdr:cNvSpPr>
          <a:spLocks noChangeArrowheads="1"/>
        </xdr:cNvSpPr>
      </xdr:nvSpPr>
      <xdr:spPr bwMode="auto">
        <a:xfrm>
          <a:off x="114300" y="15087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5" name="CaixaDeTexto 9">
          <a:extLst>
            <a:ext uri="{FF2B5EF4-FFF2-40B4-BE49-F238E27FC236}">
              <a16:creationId xmlns:a16="http://schemas.microsoft.com/office/drawing/2014/main" id="{7837B231-200D-4DBA-BF04-F845B4D59919}"/>
            </a:ext>
          </a:extLst>
        </xdr:cNvPr>
        <xdr:cNvSpPr>
          <a:spLocks noChangeArrowheads="1"/>
        </xdr:cNvSpPr>
      </xdr:nvSpPr>
      <xdr:spPr bwMode="auto">
        <a:xfrm>
          <a:off x="613410" y="15087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22</xdr:row>
      <xdr:rowOff>228600</xdr:rowOff>
    </xdr:from>
    <xdr:to>
      <xdr:col>0</xdr:col>
      <xdr:colOff>285750</xdr:colOff>
      <xdr:row>22</xdr:row>
      <xdr:rowOff>495300</xdr:rowOff>
    </xdr:to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F25883DE-94D5-4595-9E6A-560648DDE19E}"/>
            </a:ext>
          </a:extLst>
        </xdr:cNvPr>
        <xdr:cNvSpPr>
          <a:spLocks noChangeArrowheads="1"/>
        </xdr:cNvSpPr>
      </xdr:nvSpPr>
      <xdr:spPr bwMode="auto">
        <a:xfrm>
          <a:off x="114300" y="804672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22</xdr:row>
      <xdr:rowOff>228600</xdr:rowOff>
    </xdr:from>
    <xdr:to>
      <xdr:col>0</xdr:col>
      <xdr:colOff>847725</xdr:colOff>
      <xdr:row>22</xdr:row>
      <xdr:rowOff>495300</xdr:rowOff>
    </xdr:to>
    <xdr:sp macro="" textlink="">
      <xdr:nvSpPr>
        <xdr:cNvPr id="7" name="CaixaDeTexto 9">
          <a:extLst>
            <a:ext uri="{FF2B5EF4-FFF2-40B4-BE49-F238E27FC236}">
              <a16:creationId xmlns:a16="http://schemas.microsoft.com/office/drawing/2014/main" id="{9A334F10-C5CE-422A-8C41-3F7AB82966CB}"/>
            </a:ext>
          </a:extLst>
        </xdr:cNvPr>
        <xdr:cNvSpPr>
          <a:spLocks noChangeArrowheads="1"/>
        </xdr:cNvSpPr>
      </xdr:nvSpPr>
      <xdr:spPr bwMode="auto">
        <a:xfrm>
          <a:off x="613410" y="804672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42</xdr:row>
      <xdr:rowOff>228600</xdr:rowOff>
    </xdr:from>
    <xdr:to>
      <xdr:col>0</xdr:col>
      <xdr:colOff>285750</xdr:colOff>
      <xdr:row>42</xdr:row>
      <xdr:rowOff>495300</xdr:rowOff>
    </xdr:to>
    <xdr:sp macro="" textlink="">
      <xdr:nvSpPr>
        <xdr:cNvPr id="8" name="CaixaDeTexto 2">
          <a:extLst>
            <a:ext uri="{FF2B5EF4-FFF2-40B4-BE49-F238E27FC236}">
              <a16:creationId xmlns:a16="http://schemas.microsoft.com/office/drawing/2014/main" id="{81AA1AE8-493F-4556-AD48-91DF27E2552C}"/>
            </a:ext>
          </a:extLst>
        </xdr:cNvPr>
        <xdr:cNvSpPr>
          <a:spLocks noChangeArrowheads="1"/>
        </xdr:cNvSpPr>
      </xdr:nvSpPr>
      <xdr:spPr bwMode="auto">
        <a:xfrm>
          <a:off x="114300" y="1383030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42</xdr:row>
      <xdr:rowOff>228600</xdr:rowOff>
    </xdr:from>
    <xdr:to>
      <xdr:col>0</xdr:col>
      <xdr:colOff>847725</xdr:colOff>
      <xdr:row>42</xdr:row>
      <xdr:rowOff>495300</xdr:rowOff>
    </xdr:to>
    <xdr:sp macro="" textlink="">
      <xdr:nvSpPr>
        <xdr:cNvPr id="9" name="CaixaDeTexto 9">
          <a:extLst>
            <a:ext uri="{FF2B5EF4-FFF2-40B4-BE49-F238E27FC236}">
              <a16:creationId xmlns:a16="http://schemas.microsoft.com/office/drawing/2014/main" id="{AE0791FB-6E38-44E6-B599-E69956720F8F}"/>
            </a:ext>
          </a:extLst>
        </xdr:cNvPr>
        <xdr:cNvSpPr>
          <a:spLocks noChangeArrowheads="1"/>
        </xdr:cNvSpPr>
      </xdr:nvSpPr>
      <xdr:spPr bwMode="auto">
        <a:xfrm>
          <a:off x="613410" y="1383030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62</xdr:row>
      <xdr:rowOff>228600</xdr:rowOff>
    </xdr:from>
    <xdr:to>
      <xdr:col>0</xdr:col>
      <xdr:colOff>285750</xdr:colOff>
      <xdr:row>62</xdr:row>
      <xdr:rowOff>495300</xdr:rowOff>
    </xdr:to>
    <xdr:sp macro="" textlink="">
      <xdr:nvSpPr>
        <xdr:cNvPr id="10" name="CaixaDeTexto 2">
          <a:extLst>
            <a:ext uri="{FF2B5EF4-FFF2-40B4-BE49-F238E27FC236}">
              <a16:creationId xmlns:a16="http://schemas.microsoft.com/office/drawing/2014/main" id="{06243805-A3DC-484C-B29C-FE3B0EB8FB46}"/>
            </a:ext>
          </a:extLst>
        </xdr:cNvPr>
        <xdr:cNvSpPr>
          <a:spLocks noChangeArrowheads="1"/>
        </xdr:cNvSpPr>
      </xdr:nvSpPr>
      <xdr:spPr bwMode="auto">
        <a:xfrm>
          <a:off x="114300" y="19613880"/>
          <a:ext cx="171450" cy="15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62</xdr:row>
      <xdr:rowOff>228600</xdr:rowOff>
    </xdr:from>
    <xdr:to>
      <xdr:col>0</xdr:col>
      <xdr:colOff>847725</xdr:colOff>
      <xdr:row>62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5BD394B0-8B99-48DE-BED5-F8F6FA0C9BE1}"/>
            </a:ext>
          </a:extLst>
        </xdr:cNvPr>
        <xdr:cNvSpPr>
          <a:spLocks noChangeArrowheads="1"/>
        </xdr:cNvSpPr>
      </xdr:nvSpPr>
      <xdr:spPr bwMode="auto">
        <a:xfrm>
          <a:off x="613410" y="19613880"/>
          <a:ext cx="5715" cy="15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82</xdr:row>
      <xdr:rowOff>228600</xdr:rowOff>
    </xdr:from>
    <xdr:to>
      <xdr:col>0</xdr:col>
      <xdr:colOff>285750</xdr:colOff>
      <xdr:row>82</xdr:row>
      <xdr:rowOff>495300</xdr:rowOff>
    </xdr:to>
    <xdr:sp macro="" textlink="">
      <xdr:nvSpPr>
        <xdr:cNvPr id="12" name="CaixaDeTexto 2">
          <a:extLst>
            <a:ext uri="{FF2B5EF4-FFF2-40B4-BE49-F238E27FC236}">
              <a16:creationId xmlns:a16="http://schemas.microsoft.com/office/drawing/2014/main" id="{374A03C6-651C-4CA0-82C5-BD064CD9F20B}"/>
            </a:ext>
          </a:extLst>
        </xdr:cNvPr>
        <xdr:cNvSpPr>
          <a:spLocks noChangeArrowheads="1"/>
        </xdr:cNvSpPr>
      </xdr:nvSpPr>
      <xdr:spPr bwMode="auto">
        <a:xfrm>
          <a:off x="114300" y="246354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82</xdr:row>
      <xdr:rowOff>228600</xdr:rowOff>
    </xdr:from>
    <xdr:to>
      <xdr:col>0</xdr:col>
      <xdr:colOff>847725</xdr:colOff>
      <xdr:row>82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7B734CE2-9D7E-4139-9FB8-87E81ADBAC7D}"/>
            </a:ext>
          </a:extLst>
        </xdr:cNvPr>
        <xdr:cNvSpPr>
          <a:spLocks noChangeArrowheads="1"/>
        </xdr:cNvSpPr>
      </xdr:nvSpPr>
      <xdr:spPr bwMode="auto">
        <a:xfrm>
          <a:off x="613410" y="246354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705475" y="285750"/>
          <a:ext cx="171450" cy="1085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114</xdr:row>
      <xdr:rowOff>228600</xdr:rowOff>
    </xdr:from>
    <xdr:to>
      <xdr:col>0</xdr:col>
      <xdr:colOff>285750</xdr:colOff>
      <xdr:row>114</xdr:row>
      <xdr:rowOff>495300</xdr:rowOff>
    </xdr:to>
    <xdr:sp macro="" textlink="">
      <xdr:nvSpPr>
        <xdr:cNvPr id="5" name="CaixaDeTexto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114300" y="685800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114</xdr:row>
      <xdr:rowOff>228600</xdr:rowOff>
    </xdr:from>
    <xdr:to>
      <xdr:col>0</xdr:col>
      <xdr:colOff>847725</xdr:colOff>
      <xdr:row>114</xdr:row>
      <xdr:rowOff>495300</xdr:rowOff>
    </xdr:to>
    <xdr:sp macro="" textlink="">
      <xdr:nvSpPr>
        <xdr:cNvPr id="6" name="CaixaDeTexto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600075" y="685800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7" name="CaixaDeTexto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114300" y="1962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8" name="CaixaDeTexto 9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600075" y="1962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28</xdr:row>
      <xdr:rowOff>228600</xdr:rowOff>
    </xdr:from>
    <xdr:to>
      <xdr:col>0</xdr:col>
      <xdr:colOff>285750</xdr:colOff>
      <xdr:row>28</xdr:row>
      <xdr:rowOff>495300</xdr:rowOff>
    </xdr:to>
    <xdr:sp macro="" textlink="">
      <xdr:nvSpPr>
        <xdr:cNvPr id="9" name="CaixaDeTexto 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114300" y="145923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28</xdr:row>
      <xdr:rowOff>228600</xdr:rowOff>
    </xdr:from>
    <xdr:to>
      <xdr:col>0</xdr:col>
      <xdr:colOff>847725</xdr:colOff>
      <xdr:row>28</xdr:row>
      <xdr:rowOff>495300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600075" y="145923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51</xdr:row>
      <xdr:rowOff>228600</xdr:rowOff>
    </xdr:from>
    <xdr:to>
      <xdr:col>0</xdr:col>
      <xdr:colOff>285750</xdr:colOff>
      <xdr:row>51</xdr:row>
      <xdr:rowOff>495300</xdr:rowOff>
    </xdr:to>
    <xdr:sp macro="" textlink="">
      <xdr:nvSpPr>
        <xdr:cNvPr id="13" name="CaixaDeTexto 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114300" y="257365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51</xdr:row>
      <xdr:rowOff>228600</xdr:rowOff>
    </xdr:from>
    <xdr:to>
      <xdr:col>0</xdr:col>
      <xdr:colOff>847725</xdr:colOff>
      <xdr:row>51</xdr:row>
      <xdr:rowOff>495300</xdr:rowOff>
    </xdr:to>
    <xdr:sp macro="" textlink="">
      <xdr:nvSpPr>
        <xdr:cNvPr id="14" name="CaixaDeTexto 9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600075" y="257365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74</xdr:row>
      <xdr:rowOff>228600</xdr:rowOff>
    </xdr:from>
    <xdr:to>
      <xdr:col>0</xdr:col>
      <xdr:colOff>285750</xdr:colOff>
      <xdr:row>74</xdr:row>
      <xdr:rowOff>495300</xdr:rowOff>
    </xdr:to>
    <xdr:sp macro="" textlink="">
      <xdr:nvSpPr>
        <xdr:cNvPr id="17" name="CaixaDeTexto 2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4300" y="3168015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74</xdr:row>
      <xdr:rowOff>228600</xdr:rowOff>
    </xdr:from>
    <xdr:to>
      <xdr:col>0</xdr:col>
      <xdr:colOff>847725</xdr:colOff>
      <xdr:row>74</xdr:row>
      <xdr:rowOff>495300</xdr:rowOff>
    </xdr:to>
    <xdr:sp macro="" textlink="">
      <xdr:nvSpPr>
        <xdr:cNvPr id="18" name="CaixaDeTexto 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600075" y="3168015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94</xdr:row>
      <xdr:rowOff>228600</xdr:rowOff>
    </xdr:from>
    <xdr:to>
      <xdr:col>0</xdr:col>
      <xdr:colOff>285750</xdr:colOff>
      <xdr:row>94</xdr:row>
      <xdr:rowOff>495300</xdr:rowOff>
    </xdr:to>
    <xdr:sp macro="" textlink="">
      <xdr:nvSpPr>
        <xdr:cNvPr id="19" name="CaixaDeTexto 2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114300" y="36880800"/>
          <a:ext cx="17145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94</xdr:row>
      <xdr:rowOff>228600</xdr:rowOff>
    </xdr:from>
    <xdr:to>
      <xdr:col>0</xdr:col>
      <xdr:colOff>847725</xdr:colOff>
      <xdr:row>94</xdr:row>
      <xdr:rowOff>495300</xdr:rowOff>
    </xdr:to>
    <xdr:sp macro="" textlink="">
      <xdr:nvSpPr>
        <xdr:cNvPr id="20" name="CaixaDeTexto 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00075" y="36880800"/>
          <a:ext cx="0" cy="19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CBC04F20-4891-4388-9F57-897C2E23866A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FA2CF1-8963-42C3-A610-9BC759A0DF1D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F8EAE9E9-58E3-41A9-95F7-ABCE8643AB02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209550</xdr:colOff>
      <xdr:row>1</xdr:row>
      <xdr:rowOff>76200</xdr:rowOff>
    </xdr:from>
    <xdr:to>
      <xdr:col>5</xdr:col>
      <xdr:colOff>381000</xdr:colOff>
      <xdr:row>2</xdr:row>
      <xdr:rowOff>161925</xdr:rowOff>
    </xdr:to>
    <xdr:sp macro="" textlink="">
      <xdr:nvSpPr>
        <xdr:cNvPr id="5" name="CaixaDeTexto 2">
          <a:extLst>
            <a:ext uri="{FF2B5EF4-FFF2-40B4-BE49-F238E27FC236}">
              <a16:creationId xmlns:a16="http://schemas.microsoft.com/office/drawing/2014/main" id="{ABA86104-D385-499C-A738-3485C17158A9}"/>
            </a:ext>
          </a:extLst>
        </xdr:cNvPr>
        <xdr:cNvSpPr>
          <a:spLocks noChangeArrowheads="1"/>
        </xdr:cNvSpPr>
      </xdr:nvSpPr>
      <xdr:spPr bwMode="auto">
        <a:xfrm>
          <a:off x="7174230" y="281940"/>
          <a:ext cx="171450" cy="108394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114</xdr:row>
      <xdr:rowOff>228600</xdr:rowOff>
    </xdr:from>
    <xdr:to>
      <xdr:col>0</xdr:col>
      <xdr:colOff>285750</xdr:colOff>
      <xdr:row>114</xdr:row>
      <xdr:rowOff>495300</xdr:rowOff>
    </xdr:to>
    <xdr:sp macro="" textlink="">
      <xdr:nvSpPr>
        <xdr:cNvPr id="2" name="CaixaDeTexto 2">
          <a:extLst>
            <a:ext uri="{FF2B5EF4-FFF2-40B4-BE49-F238E27FC236}">
              <a16:creationId xmlns:a16="http://schemas.microsoft.com/office/drawing/2014/main" id="{AE0029DB-4F29-4E40-8BFF-F2222C4BC9F2}"/>
            </a:ext>
          </a:extLst>
        </xdr:cNvPr>
        <xdr:cNvSpPr>
          <a:spLocks noChangeArrowheads="1"/>
        </xdr:cNvSpPr>
      </xdr:nvSpPr>
      <xdr:spPr bwMode="auto">
        <a:xfrm>
          <a:off x="114300" y="296646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114</xdr:row>
      <xdr:rowOff>228600</xdr:rowOff>
    </xdr:from>
    <xdr:to>
      <xdr:col>0</xdr:col>
      <xdr:colOff>847725</xdr:colOff>
      <xdr:row>114</xdr:row>
      <xdr:rowOff>495300</xdr:rowOff>
    </xdr:to>
    <xdr:sp macro="" textlink="">
      <xdr:nvSpPr>
        <xdr:cNvPr id="3" name="CaixaDeTexto 9">
          <a:extLst>
            <a:ext uri="{FF2B5EF4-FFF2-40B4-BE49-F238E27FC236}">
              <a16:creationId xmlns:a16="http://schemas.microsoft.com/office/drawing/2014/main" id="{18335481-F097-4E1C-ABEA-4254E2D4C585}"/>
            </a:ext>
          </a:extLst>
        </xdr:cNvPr>
        <xdr:cNvSpPr>
          <a:spLocks noChangeArrowheads="1"/>
        </xdr:cNvSpPr>
      </xdr:nvSpPr>
      <xdr:spPr bwMode="auto">
        <a:xfrm>
          <a:off x="613410" y="296646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</xdr:row>
      <xdr:rowOff>228600</xdr:rowOff>
    </xdr:from>
    <xdr:to>
      <xdr:col>0</xdr:col>
      <xdr:colOff>285750</xdr:colOff>
      <xdr:row>2</xdr:row>
      <xdr:rowOff>495300</xdr:rowOff>
    </xdr:to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9A529AB3-9B64-4A69-B215-0C5E312ABEB9}"/>
            </a:ext>
          </a:extLst>
        </xdr:cNvPr>
        <xdr:cNvSpPr>
          <a:spLocks noChangeArrowheads="1"/>
        </xdr:cNvSpPr>
      </xdr:nvSpPr>
      <xdr:spPr bwMode="auto">
        <a:xfrm>
          <a:off x="114300" y="15087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</xdr:row>
      <xdr:rowOff>228600</xdr:rowOff>
    </xdr:from>
    <xdr:to>
      <xdr:col>0</xdr:col>
      <xdr:colOff>847725</xdr:colOff>
      <xdr:row>2</xdr:row>
      <xdr:rowOff>495300</xdr:rowOff>
    </xdr:to>
    <xdr:sp macro="" textlink="">
      <xdr:nvSpPr>
        <xdr:cNvPr id="5" name="CaixaDeTexto 9">
          <a:extLst>
            <a:ext uri="{FF2B5EF4-FFF2-40B4-BE49-F238E27FC236}">
              <a16:creationId xmlns:a16="http://schemas.microsoft.com/office/drawing/2014/main" id="{5B219477-55C9-472C-8A0C-2A90D89706AA}"/>
            </a:ext>
          </a:extLst>
        </xdr:cNvPr>
        <xdr:cNvSpPr>
          <a:spLocks noChangeArrowheads="1"/>
        </xdr:cNvSpPr>
      </xdr:nvSpPr>
      <xdr:spPr bwMode="auto">
        <a:xfrm>
          <a:off x="613410" y="15087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28</xdr:row>
      <xdr:rowOff>228600</xdr:rowOff>
    </xdr:from>
    <xdr:to>
      <xdr:col>0</xdr:col>
      <xdr:colOff>285750</xdr:colOff>
      <xdr:row>28</xdr:row>
      <xdr:rowOff>495300</xdr:rowOff>
    </xdr:to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6DD80168-2653-4356-947C-91685DC3909F}"/>
            </a:ext>
          </a:extLst>
        </xdr:cNvPr>
        <xdr:cNvSpPr>
          <a:spLocks noChangeArrowheads="1"/>
        </xdr:cNvSpPr>
      </xdr:nvSpPr>
      <xdr:spPr bwMode="auto">
        <a:xfrm>
          <a:off x="114300" y="804672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28</xdr:row>
      <xdr:rowOff>228600</xdr:rowOff>
    </xdr:from>
    <xdr:to>
      <xdr:col>0</xdr:col>
      <xdr:colOff>847725</xdr:colOff>
      <xdr:row>28</xdr:row>
      <xdr:rowOff>495300</xdr:rowOff>
    </xdr:to>
    <xdr:sp macro="" textlink="">
      <xdr:nvSpPr>
        <xdr:cNvPr id="7" name="CaixaDeTexto 9">
          <a:extLst>
            <a:ext uri="{FF2B5EF4-FFF2-40B4-BE49-F238E27FC236}">
              <a16:creationId xmlns:a16="http://schemas.microsoft.com/office/drawing/2014/main" id="{FC2F904A-AD6E-4F74-8F8C-AB2AC7B9FF3D}"/>
            </a:ext>
          </a:extLst>
        </xdr:cNvPr>
        <xdr:cNvSpPr>
          <a:spLocks noChangeArrowheads="1"/>
        </xdr:cNvSpPr>
      </xdr:nvSpPr>
      <xdr:spPr bwMode="auto">
        <a:xfrm>
          <a:off x="613410" y="804672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51</xdr:row>
      <xdr:rowOff>228600</xdr:rowOff>
    </xdr:from>
    <xdr:to>
      <xdr:col>0</xdr:col>
      <xdr:colOff>285750</xdr:colOff>
      <xdr:row>51</xdr:row>
      <xdr:rowOff>495300</xdr:rowOff>
    </xdr:to>
    <xdr:sp macro="" textlink="">
      <xdr:nvSpPr>
        <xdr:cNvPr id="8" name="CaixaDeTexto 2">
          <a:extLst>
            <a:ext uri="{FF2B5EF4-FFF2-40B4-BE49-F238E27FC236}">
              <a16:creationId xmlns:a16="http://schemas.microsoft.com/office/drawing/2014/main" id="{94AEEC58-4680-4583-AABE-1379BA8EF117}"/>
            </a:ext>
          </a:extLst>
        </xdr:cNvPr>
        <xdr:cNvSpPr>
          <a:spLocks noChangeArrowheads="1"/>
        </xdr:cNvSpPr>
      </xdr:nvSpPr>
      <xdr:spPr bwMode="auto">
        <a:xfrm>
          <a:off x="114300" y="1383030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51</xdr:row>
      <xdr:rowOff>228600</xdr:rowOff>
    </xdr:from>
    <xdr:to>
      <xdr:col>0</xdr:col>
      <xdr:colOff>847725</xdr:colOff>
      <xdr:row>51</xdr:row>
      <xdr:rowOff>495300</xdr:rowOff>
    </xdr:to>
    <xdr:sp macro="" textlink="">
      <xdr:nvSpPr>
        <xdr:cNvPr id="9" name="CaixaDeTexto 9">
          <a:extLst>
            <a:ext uri="{FF2B5EF4-FFF2-40B4-BE49-F238E27FC236}">
              <a16:creationId xmlns:a16="http://schemas.microsoft.com/office/drawing/2014/main" id="{EFB6F5B6-A851-4CE1-9037-C0017191C7E6}"/>
            </a:ext>
          </a:extLst>
        </xdr:cNvPr>
        <xdr:cNvSpPr>
          <a:spLocks noChangeArrowheads="1"/>
        </xdr:cNvSpPr>
      </xdr:nvSpPr>
      <xdr:spPr bwMode="auto">
        <a:xfrm>
          <a:off x="613410" y="1383030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74</xdr:row>
      <xdr:rowOff>228600</xdr:rowOff>
    </xdr:from>
    <xdr:to>
      <xdr:col>0</xdr:col>
      <xdr:colOff>285750</xdr:colOff>
      <xdr:row>74</xdr:row>
      <xdr:rowOff>495300</xdr:rowOff>
    </xdr:to>
    <xdr:sp macro="" textlink="">
      <xdr:nvSpPr>
        <xdr:cNvPr id="10" name="CaixaDeTexto 2">
          <a:extLst>
            <a:ext uri="{FF2B5EF4-FFF2-40B4-BE49-F238E27FC236}">
              <a16:creationId xmlns:a16="http://schemas.microsoft.com/office/drawing/2014/main" id="{EC672CD8-9BC1-471F-B245-BC9EB375150E}"/>
            </a:ext>
          </a:extLst>
        </xdr:cNvPr>
        <xdr:cNvSpPr>
          <a:spLocks noChangeArrowheads="1"/>
        </xdr:cNvSpPr>
      </xdr:nvSpPr>
      <xdr:spPr bwMode="auto">
        <a:xfrm>
          <a:off x="114300" y="19613880"/>
          <a:ext cx="171450" cy="15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74</xdr:row>
      <xdr:rowOff>228600</xdr:rowOff>
    </xdr:from>
    <xdr:to>
      <xdr:col>0</xdr:col>
      <xdr:colOff>847725</xdr:colOff>
      <xdr:row>74</xdr:row>
      <xdr:rowOff>495300</xdr:rowOff>
    </xdr:to>
    <xdr:sp macro="" textlink="">
      <xdr:nvSpPr>
        <xdr:cNvPr id="11" name="CaixaDeTexto 9">
          <a:extLst>
            <a:ext uri="{FF2B5EF4-FFF2-40B4-BE49-F238E27FC236}">
              <a16:creationId xmlns:a16="http://schemas.microsoft.com/office/drawing/2014/main" id="{FB4B5C1C-2148-4F3D-9637-738F2189097A}"/>
            </a:ext>
          </a:extLst>
        </xdr:cNvPr>
        <xdr:cNvSpPr>
          <a:spLocks noChangeArrowheads="1"/>
        </xdr:cNvSpPr>
      </xdr:nvSpPr>
      <xdr:spPr bwMode="auto">
        <a:xfrm>
          <a:off x="613410" y="19613880"/>
          <a:ext cx="5715" cy="152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114300</xdr:colOff>
      <xdr:row>94</xdr:row>
      <xdr:rowOff>228600</xdr:rowOff>
    </xdr:from>
    <xdr:to>
      <xdr:col>0</xdr:col>
      <xdr:colOff>285750</xdr:colOff>
      <xdr:row>94</xdr:row>
      <xdr:rowOff>495300</xdr:rowOff>
    </xdr:to>
    <xdr:sp macro="" textlink="">
      <xdr:nvSpPr>
        <xdr:cNvPr id="12" name="CaixaDeTexto 2">
          <a:extLst>
            <a:ext uri="{FF2B5EF4-FFF2-40B4-BE49-F238E27FC236}">
              <a16:creationId xmlns:a16="http://schemas.microsoft.com/office/drawing/2014/main" id="{181121B0-9928-44C0-B542-9254381285FF}"/>
            </a:ext>
          </a:extLst>
        </xdr:cNvPr>
        <xdr:cNvSpPr>
          <a:spLocks noChangeArrowheads="1"/>
        </xdr:cNvSpPr>
      </xdr:nvSpPr>
      <xdr:spPr bwMode="auto">
        <a:xfrm>
          <a:off x="114300" y="24635460"/>
          <a:ext cx="171450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1809750</xdr:colOff>
      <xdr:row>94</xdr:row>
      <xdr:rowOff>228600</xdr:rowOff>
    </xdr:from>
    <xdr:to>
      <xdr:col>0</xdr:col>
      <xdr:colOff>847725</xdr:colOff>
      <xdr:row>94</xdr:row>
      <xdr:rowOff>495300</xdr:rowOff>
    </xdr:to>
    <xdr:sp macro="" textlink="">
      <xdr:nvSpPr>
        <xdr:cNvPr id="13" name="CaixaDeTexto 9">
          <a:extLst>
            <a:ext uri="{FF2B5EF4-FFF2-40B4-BE49-F238E27FC236}">
              <a16:creationId xmlns:a16="http://schemas.microsoft.com/office/drawing/2014/main" id="{882DEE75-FB2B-40A4-B9C2-F34AA9BEBE19}"/>
            </a:ext>
          </a:extLst>
        </xdr:cNvPr>
        <xdr:cNvSpPr>
          <a:spLocks noChangeArrowheads="1"/>
        </xdr:cNvSpPr>
      </xdr:nvSpPr>
      <xdr:spPr bwMode="auto">
        <a:xfrm>
          <a:off x="613410" y="24635460"/>
          <a:ext cx="5715" cy="228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28574</xdr:rowOff>
    </xdr:from>
    <xdr:to>
      <xdr:col>1</xdr:col>
      <xdr:colOff>3147060</xdr:colOff>
      <xdr:row>3</xdr:row>
      <xdr:rowOff>21464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99E6BFB-902B-4C41-AD17-089CFDCB1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8574"/>
          <a:ext cx="4069080" cy="564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mailto:comercial@planservi.com.br" TargetMode="External"/><Relationship Id="rId13" Type="http://schemas.openxmlformats.org/officeDocument/2006/relationships/hyperlink" Target="mailto:ste@stesa.com.br" TargetMode="External"/><Relationship Id="rId3" Type="http://schemas.openxmlformats.org/officeDocument/2006/relationships/hyperlink" Target="mailto:pavesys@pavesys.com.br" TargetMode="External"/><Relationship Id="rId7" Type="http://schemas.openxmlformats.org/officeDocument/2006/relationships/hyperlink" Target="mailto:comercial@afirma.eng.br" TargetMode="External"/><Relationship Id="rId12" Type="http://schemas.openxmlformats.org/officeDocument/2006/relationships/hyperlink" Target="mailto:contato@magnaeng.com.br" TargetMode="External"/><Relationship Id="rId17" Type="http://schemas.openxmlformats.org/officeDocument/2006/relationships/drawing" Target="../drawings/drawing10.xml"/><Relationship Id="rId2" Type="http://schemas.openxmlformats.org/officeDocument/2006/relationships/hyperlink" Target="mailto:contato@dynatest.com.br" TargetMode="External"/><Relationship Id="rId16" Type="http://schemas.openxmlformats.org/officeDocument/2006/relationships/printerSettings" Target="../printerSettings/printerSettings14.bin"/><Relationship Id="rId1" Type="http://schemas.openxmlformats.org/officeDocument/2006/relationships/hyperlink" Target="mailto:prosul@prosul.com/do@prosul.com" TargetMode="External"/><Relationship Id="rId6" Type="http://schemas.openxmlformats.org/officeDocument/2006/relationships/hyperlink" Target="mailto:engenharia@copavel.com.br" TargetMode="External"/><Relationship Id="rId11" Type="http://schemas.openxmlformats.org/officeDocument/2006/relationships/hyperlink" Target="mailto:incorp@incorpconsultoria.com.br" TargetMode="External"/><Relationship Id="rId5" Type="http://schemas.openxmlformats.org/officeDocument/2006/relationships/hyperlink" Target="mailto:contato@rrunner.com.br" TargetMode="External"/><Relationship Id="rId15" Type="http://schemas.openxmlformats.org/officeDocument/2006/relationships/hyperlink" Target="mailto:trafecon@trafecon.com.br" TargetMode="External"/><Relationship Id="rId10" Type="http://schemas.openxmlformats.org/officeDocument/2006/relationships/hyperlink" Target="mailto:enecon.poa@enecon.com.br" TargetMode="External"/><Relationship Id="rId4" Type="http://schemas.openxmlformats.org/officeDocument/2006/relationships/hyperlink" Target="mailto:atendimento@srengenharia.net" TargetMode="External"/><Relationship Id="rId9" Type="http://schemas.openxmlformats.org/officeDocument/2006/relationships/hyperlink" Target="mailto:contato@engespa.com.br" TargetMode="External"/><Relationship Id="rId14" Type="http://schemas.openxmlformats.org/officeDocument/2006/relationships/hyperlink" Target="mailto:geral@future.atp.eng.br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U180"/>
  <sheetViews>
    <sheetView tabSelected="1" topLeftCell="E1" zoomScale="55" zoomScaleNormal="55" zoomScaleSheetLayoutView="55" workbookViewId="0">
      <selection activeCell="K12" sqref="K12"/>
    </sheetView>
  </sheetViews>
  <sheetFormatPr defaultColWidth="8.6640625" defaultRowHeight="15"/>
  <cols>
    <col min="1" max="1" width="6.109375" style="148" customWidth="1"/>
    <col min="2" max="2" width="13.88671875" style="7" customWidth="1"/>
    <col min="3" max="3" width="22.5546875" style="7" customWidth="1"/>
    <col min="4" max="4" width="16.6640625" style="8" customWidth="1"/>
    <col min="5" max="5" width="53.88671875" style="7" customWidth="1"/>
    <col min="6" max="6" width="68.88671875" style="7" customWidth="1"/>
    <col min="7" max="7" width="23.109375" style="8" customWidth="1"/>
    <col min="8" max="8" width="29" style="7" bestFit="1" customWidth="1"/>
    <col min="9" max="9" width="14.6640625" style="161" bestFit="1" customWidth="1"/>
    <col min="10" max="99" width="8.6640625" style="161"/>
    <col min="100" max="16384" width="8.6640625" style="149"/>
  </cols>
  <sheetData>
    <row r="1" spans="1:99" ht="22.5" customHeight="1" thickBot="1"/>
    <row r="2" spans="1:99" s="146" customFormat="1" ht="42" customHeight="1" thickBot="1">
      <c r="A2" s="145"/>
      <c r="B2" s="480" t="s">
        <v>0</v>
      </c>
      <c r="C2" s="481"/>
      <c r="D2" s="481"/>
      <c r="E2" s="481"/>
      <c r="F2" s="481"/>
      <c r="G2" s="481"/>
      <c r="H2" s="482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</row>
    <row r="3" spans="1:99" s="146" customFormat="1" ht="21" customHeight="1">
      <c r="A3" s="145"/>
      <c r="B3" s="483" t="s">
        <v>1</v>
      </c>
      <c r="C3" s="486" t="s">
        <v>2</v>
      </c>
      <c r="D3" s="488" t="s">
        <v>3</v>
      </c>
      <c r="E3" s="488" t="s">
        <v>4</v>
      </c>
      <c r="F3" s="488" t="s">
        <v>5</v>
      </c>
      <c r="G3" s="491" t="s">
        <v>6</v>
      </c>
      <c r="H3" s="494" t="s">
        <v>7</v>
      </c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</row>
    <row r="4" spans="1:99" s="146" customFormat="1" ht="21" customHeight="1">
      <c r="A4" s="145"/>
      <c r="B4" s="484"/>
      <c r="C4" s="487"/>
      <c r="D4" s="489"/>
      <c r="E4" s="489"/>
      <c r="F4" s="489"/>
      <c r="G4" s="492"/>
      <c r="H4" s="495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7"/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7"/>
      <c r="CN4" s="147"/>
      <c r="CO4" s="147"/>
      <c r="CP4" s="147"/>
      <c r="CQ4" s="147"/>
      <c r="CR4" s="147"/>
      <c r="CS4" s="147"/>
      <c r="CT4" s="147"/>
      <c r="CU4" s="147"/>
    </row>
    <row r="5" spans="1:99" s="146" customFormat="1" ht="23.25" customHeight="1" thickBot="1">
      <c r="A5" s="145"/>
      <c r="B5" s="485"/>
      <c r="C5" s="487"/>
      <c r="D5" s="490"/>
      <c r="E5" s="490"/>
      <c r="F5" s="490"/>
      <c r="G5" s="493"/>
      <c r="H5" s="496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/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47"/>
      <c r="CJ5" s="147"/>
      <c r="CK5" s="147"/>
      <c r="CL5" s="147"/>
      <c r="CM5" s="147"/>
      <c r="CN5" s="147"/>
      <c r="CO5" s="147"/>
      <c r="CP5" s="147"/>
      <c r="CQ5" s="147"/>
      <c r="CR5" s="147"/>
      <c r="CS5" s="147"/>
      <c r="CT5" s="147"/>
      <c r="CU5" s="147"/>
    </row>
    <row r="6" spans="1:99" s="146" customFormat="1" ht="33" customHeight="1">
      <c r="A6" s="145"/>
      <c r="B6" s="495">
        <v>1</v>
      </c>
      <c r="C6" s="397" t="s">
        <v>445</v>
      </c>
      <c r="D6" s="398" t="s">
        <v>446</v>
      </c>
      <c r="E6" s="399" t="s">
        <v>447</v>
      </c>
      <c r="F6" s="399" t="s">
        <v>448</v>
      </c>
      <c r="G6" s="400">
        <v>402</v>
      </c>
      <c r="H6" s="497">
        <f>'Relatorios LOTE 01'!H133</f>
        <v>5789227.2199999997</v>
      </c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</row>
    <row r="7" spans="1:99" s="146" customFormat="1" ht="33" customHeight="1">
      <c r="A7" s="145"/>
      <c r="B7" s="495"/>
      <c r="C7" s="401" t="s">
        <v>449</v>
      </c>
      <c r="D7" s="402" t="s">
        <v>450</v>
      </c>
      <c r="E7" s="403" t="s">
        <v>451</v>
      </c>
      <c r="F7" s="403" t="s">
        <v>452</v>
      </c>
      <c r="G7" s="404">
        <v>401.6</v>
      </c>
      <c r="H7" s="498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</row>
    <row r="8" spans="1:99" s="146" customFormat="1" ht="33" customHeight="1" thickBot="1">
      <c r="A8" s="145"/>
      <c r="B8" s="496"/>
      <c r="C8" s="426" t="s">
        <v>453</v>
      </c>
      <c r="D8" s="427" t="s">
        <v>450</v>
      </c>
      <c r="E8" s="428" t="s">
        <v>454</v>
      </c>
      <c r="F8" s="428" t="s">
        <v>455</v>
      </c>
      <c r="G8" s="405">
        <v>321.60000000000002</v>
      </c>
      <c r="H8" s="502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</row>
    <row r="9" spans="1:99" s="146" customFormat="1" ht="33" customHeight="1">
      <c r="A9" s="145"/>
      <c r="B9" s="499">
        <v>2</v>
      </c>
      <c r="C9" s="429" t="s">
        <v>456</v>
      </c>
      <c r="D9" s="430" t="s">
        <v>446</v>
      </c>
      <c r="E9" s="431" t="s">
        <v>457</v>
      </c>
      <c r="F9" s="431" t="s">
        <v>458</v>
      </c>
      <c r="G9" s="432">
        <v>412.7</v>
      </c>
      <c r="H9" s="497">
        <f>'Relatorios LOTE 02'!H137</f>
        <v>6795061.3099999996</v>
      </c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7"/>
      <c r="BU9" s="147"/>
      <c r="BV9" s="147"/>
      <c r="BW9" s="147"/>
      <c r="BX9" s="147"/>
      <c r="BY9" s="147"/>
      <c r="BZ9" s="147"/>
      <c r="CA9" s="147"/>
      <c r="CB9" s="147"/>
      <c r="CC9" s="147"/>
      <c r="CD9" s="147"/>
      <c r="CE9" s="147"/>
      <c r="CF9" s="147"/>
      <c r="CG9" s="147"/>
      <c r="CH9" s="147"/>
      <c r="CI9" s="147"/>
      <c r="CJ9" s="147"/>
      <c r="CK9" s="147"/>
      <c r="CL9" s="147"/>
      <c r="CM9" s="147"/>
      <c r="CN9" s="147"/>
      <c r="CO9" s="147"/>
      <c r="CP9" s="147"/>
      <c r="CQ9" s="147"/>
      <c r="CR9" s="147"/>
      <c r="CS9" s="147"/>
      <c r="CT9" s="147"/>
      <c r="CU9" s="147"/>
    </row>
    <row r="10" spans="1:99" s="146" customFormat="1" ht="33" customHeight="1">
      <c r="A10" s="145"/>
      <c r="B10" s="500"/>
      <c r="C10" s="422" t="s">
        <v>456</v>
      </c>
      <c r="D10" s="423" t="s">
        <v>446</v>
      </c>
      <c r="E10" s="424" t="s">
        <v>459</v>
      </c>
      <c r="F10" s="424" t="s">
        <v>460</v>
      </c>
      <c r="G10" s="425">
        <v>405.9</v>
      </c>
      <c r="H10" s="498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</row>
    <row r="11" spans="1:99" s="146" customFormat="1" ht="33" customHeight="1" thickBot="1">
      <c r="A11" s="145"/>
      <c r="B11" s="501"/>
      <c r="C11" s="422" t="s">
        <v>461</v>
      </c>
      <c r="D11" s="423" t="s">
        <v>450</v>
      </c>
      <c r="E11" s="424" t="s">
        <v>462</v>
      </c>
      <c r="F11" s="424" t="s">
        <v>463</v>
      </c>
      <c r="G11" s="425">
        <v>220.42</v>
      </c>
      <c r="H11" s="502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</row>
    <row r="12" spans="1:99" s="146" customFormat="1" ht="33" customHeight="1">
      <c r="A12" s="145"/>
      <c r="B12" s="494">
        <v>3</v>
      </c>
      <c r="C12" s="397" t="s">
        <v>465</v>
      </c>
      <c r="D12" s="398" t="s">
        <v>266</v>
      </c>
      <c r="E12" s="399" t="s">
        <v>466</v>
      </c>
      <c r="F12" s="399" t="s">
        <v>467</v>
      </c>
      <c r="G12" s="400">
        <v>437</v>
      </c>
      <c r="H12" s="497">
        <f>'Relatorios LOTE 03'!H145</f>
        <v>5771542.6200000001</v>
      </c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47"/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</row>
    <row r="13" spans="1:99" s="146" customFormat="1" ht="33" customHeight="1" thickBot="1">
      <c r="A13" s="145"/>
      <c r="B13" s="495"/>
      <c r="C13" s="401" t="s">
        <v>267</v>
      </c>
      <c r="D13" s="402" t="s">
        <v>266</v>
      </c>
      <c r="E13" s="403" t="s">
        <v>268</v>
      </c>
      <c r="F13" s="403" t="s">
        <v>269</v>
      </c>
      <c r="G13" s="404">
        <v>850.7</v>
      </c>
      <c r="H13" s="498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7"/>
    </row>
    <row r="14" spans="1:99" s="146" customFormat="1" ht="33" customHeight="1" thickBot="1">
      <c r="A14" s="145"/>
      <c r="B14" s="421">
        <v>4</v>
      </c>
      <c r="C14" s="406" t="s">
        <v>270</v>
      </c>
      <c r="D14" s="398" t="s">
        <v>266</v>
      </c>
      <c r="E14" s="399" t="s">
        <v>271</v>
      </c>
      <c r="F14" s="399" t="s">
        <v>272</v>
      </c>
      <c r="G14" s="407">
        <v>1009.53</v>
      </c>
      <c r="H14" s="420">
        <f>'Relatorios LOTE 04'!H145</f>
        <v>4863977.53</v>
      </c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</row>
    <row r="15" spans="1:99" s="146" customFormat="1" ht="40.5" customHeight="1" thickBot="1">
      <c r="A15" s="145"/>
      <c r="B15" s="194"/>
      <c r="C15" s="195"/>
      <c r="D15" s="196"/>
      <c r="E15" s="195"/>
      <c r="F15" s="195" t="s">
        <v>8</v>
      </c>
      <c r="G15" s="433">
        <f>SUM(G6:G14)</f>
        <v>4461.45</v>
      </c>
      <c r="H15" s="395">
        <f>SUM(H6:H14)</f>
        <v>23219808.68</v>
      </c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D15" s="147"/>
      <c r="CE15" s="147"/>
      <c r="CF15" s="147"/>
      <c r="CG15" s="147"/>
      <c r="CH15" s="147"/>
      <c r="CI15" s="147"/>
      <c r="CJ15" s="147"/>
      <c r="CK15" s="147"/>
      <c r="CL15" s="147"/>
      <c r="CM15" s="147"/>
      <c r="CN15" s="147"/>
      <c r="CO15" s="147"/>
      <c r="CP15" s="147"/>
      <c r="CQ15" s="147"/>
      <c r="CR15" s="147"/>
      <c r="CS15" s="147"/>
      <c r="CT15" s="147"/>
      <c r="CU15" s="147"/>
    </row>
    <row r="16" spans="1:99" s="145" customFormat="1" ht="17.399999999999999">
      <c r="B16" s="162"/>
      <c r="C16" s="163"/>
      <c r="D16" s="164"/>
      <c r="E16" s="163"/>
      <c r="F16" s="163"/>
      <c r="G16" s="164"/>
      <c r="H16" s="163"/>
      <c r="I16" s="20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  <c r="BI16" s="147"/>
      <c r="BJ16" s="147"/>
      <c r="BK16" s="147"/>
      <c r="BL16" s="147"/>
      <c r="BM16" s="147"/>
      <c r="BN16" s="147"/>
      <c r="BO16" s="147"/>
      <c r="BP16" s="147"/>
      <c r="BQ16" s="147"/>
      <c r="BR16" s="147"/>
      <c r="BS16" s="147"/>
      <c r="BT16" s="147"/>
      <c r="BU16" s="147"/>
      <c r="BV16" s="147"/>
      <c r="BW16" s="147"/>
      <c r="BX16" s="147"/>
      <c r="BY16" s="147"/>
      <c r="BZ16" s="147"/>
      <c r="CA16" s="147"/>
      <c r="CB16" s="147"/>
      <c r="CC16" s="147"/>
      <c r="CD16" s="147"/>
      <c r="CE16" s="147"/>
      <c r="CF16" s="147"/>
      <c r="CG16" s="147"/>
      <c r="CH16" s="147"/>
      <c r="CI16" s="147"/>
      <c r="CJ16" s="147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47"/>
    </row>
    <row r="17" spans="2:99" s="148" customFormat="1">
      <c r="B17" s="5"/>
      <c r="C17" s="5"/>
      <c r="D17" s="6"/>
      <c r="E17" s="5"/>
      <c r="F17" s="5"/>
      <c r="G17" s="6"/>
      <c r="H17" s="5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161"/>
      <c r="BM17" s="161"/>
      <c r="BN17" s="161"/>
      <c r="BO17" s="161"/>
      <c r="BP17" s="161"/>
      <c r="BQ17" s="161"/>
      <c r="BR17" s="161"/>
      <c r="BS17" s="161"/>
      <c r="BT17" s="161"/>
      <c r="BU17" s="161"/>
      <c r="BV17" s="161"/>
      <c r="BW17" s="161"/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1"/>
      <c r="CO17" s="161"/>
      <c r="CP17" s="161"/>
      <c r="CQ17" s="161"/>
      <c r="CR17" s="161"/>
      <c r="CS17" s="161"/>
      <c r="CT17" s="161"/>
      <c r="CU17" s="161"/>
    </row>
    <row r="18" spans="2:99" s="148" customFormat="1">
      <c r="B18" s="5"/>
      <c r="C18" s="5"/>
      <c r="D18" s="6"/>
      <c r="E18" s="5"/>
      <c r="F18" s="5"/>
      <c r="G18" s="6"/>
      <c r="H18" s="5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/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61"/>
      <c r="CO18" s="161"/>
      <c r="CP18" s="161"/>
      <c r="CQ18" s="161"/>
      <c r="CR18" s="161"/>
      <c r="CS18" s="161"/>
      <c r="CT18" s="161"/>
      <c r="CU18" s="161"/>
    </row>
    <row r="19" spans="2:99" s="148" customFormat="1">
      <c r="B19" s="5"/>
      <c r="C19" s="5"/>
      <c r="D19" s="6"/>
      <c r="E19" s="5"/>
      <c r="F19" s="5"/>
      <c r="G19" s="6"/>
      <c r="H19" s="5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1"/>
      <c r="BN19" s="161"/>
      <c r="BO19" s="161"/>
      <c r="BP19" s="161"/>
      <c r="BQ19" s="161"/>
      <c r="BR19" s="161"/>
      <c r="BS19" s="161"/>
      <c r="BT19" s="161"/>
      <c r="BU19" s="161"/>
      <c r="BV19" s="161"/>
      <c r="BW19" s="161"/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61"/>
      <c r="CO19" s="161"/>
      <c r="CP19" s="161"/>
      <c r="CQ19" s="161"/>
      <c r="CR19" s="161"/>
      <c r="CS19" s="161"/>
      <c r="CT19" s="161"/>
      <c r="CU19" s="161"/>
    </row>
    <row r="20" spans="2:99" s="148" customFormat="1">
      <c r="B20" s="5"/>
      <c r="C20" s="5"/>
      <c r="D20" s="6"/>
      <c r="E20" s="5"/>
      <c r="F20" s="5"/>
      <c r="G20" s="6"/>
      <c r="H20" s="5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  <c r="BL20" s="161"/>
      <c r="BM20" s="161"/>
      <c r="BN20" s="161"/>
      <c r="BO20" s="161"/>
      <c r="BP20" s="161"/>
      <c r="BQ20" s="161"/>
      <c r="BR20" s="161"/>
      <c r="BS20" s="161"/>
      <c r="BT20" s="161"/>
      <c r="BU20" s="161"/>
      <c r="BV20" s="161"/>
      <c r="BW20" s="161"/>
      <c r="BX20" s="161"/>
      <c r="BY20" s="161"/>
      <c r="BZ20" s="161"/>
      <c r="CA20" s="161"/>
      <c r="CB20" s="161"/>
      <c r="CC20" s="161"/>
      <c r="CD20" s="161"/>
      <c r="CE20" s="161"/>
      <c r="CF20" s="161"/>
      <c r="CG20" s="161"/>
      <c r="CH20" s="161"/>
      <c r="CI20" s="161"/>
      <c r="CJ20" s="161"/>
      <c r="CK20" s="161"/>
      <c r="CL20" s="161"/>
      <c r="CM20" s="161"/>
      <c r="CN20" s="161"/>
      <c r="CO20" s="161"/>
      <c r="CP20" s="161"/>
      <c r="CQ20" s="161"/>
      <c r="CR20" s="161"/>
      <c r="CS20" s="161"/>
      <c r="CT20" s="161"/>
      <c r="CU20" s="161"/>
    </row>
    <row r="21" spans="2:99" s="148" customFormat="1">
      <c r="B21" s="5"/>
      <c r="C21" s="5"/>
      <c r="D21" s="6"/>
      <c r="E21" s="5"/>
      <c r="F21" s="5"/>
      <c r="G21" s="6"/>
      <c r="H21" s="5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1"/>
      <c r="BN21" s="161"/>
      <c r="BO21" s="161"/>
      <c r="BP21" s="161"/>
      <c r="BQ21" s="161"/>
      <c r="BR21" s="161"/>
      <c r="BS21" s="161"/>
      <c r="BT21" s="161"/>
      <c r="BU21" s="161"/>
      <c r="BV21" s="161"/>
      <c r="BW21" s="161"/>
      <c r="BX21" s="161"/>
      <c r="BY21" s="161"/>
      <c r="BZ21" s="161"/>
      <c r="CA21" s="161"/>
      <c r="CB21" s="161"/>
      <c r="CC21" s="161"/>
      <c r="CD21" s="161"/>
      <c r="CE21" s="161"/>
      <c r="CF21" s="161"/>
      <c r="CG21" s="161"/>
      <c r="CH21" s="161"/>
      <c r="CI21" s="161"/>
      <c r="CJ21" s="161"/>
      <c r="CK21" s="161"/>
      <c r="CL21" s="161"/>
      <c r="CM21" s="161"/>
      <c r="CN21" s="161"/>
      <c r="CO21" s="161"/>
      <c r="CP21" s="161"/>
      <c r="CQ21" s="161"/>
      <c r="CR21" s="161"/>
      <c r="CS21" s="161"/>
      <c r="CT21" s="161"/>
      <c r="CU21" s="161"/>
    </row>
    <row r="22" spans="2:99" s="148" customFormat="1">
      <c r="B22" s="5"/>
      <c r="C22" s="5"/>
      <c r="D22" s="6"/>
      <c r="E22" s="5"/>
      <c r="F22" s="5"/>
      <c r="G22" s="6"/>
      <c r="H22" s="5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1"/>
      <c r="BN22" s="161"/>
      <c r="BO22" s="161"/>
      <c r="BP22" s="161"/>
      <c r="BQ22" s="161"/>
      <c r="BR22" s="161"/>
      <c r="BS22" s="161"/>
      <c r="BT22" s="161"/>
      <c r="BU22" s="161"/>
      <c r="BV22" s="161"/>
      <c r="BW22" s="161"/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1"/>
      <c r="CN22" s="161"/>
      <c r="CO22" s="161"/>
      <c r="CP22" s="161"/>
      <c r="CQ22" s="161"/>
      <c r="CR22" s="161"/>
      <c r="CS22" s="161"/>
      <c r="CT22" s="161"/>
      <c r="CU22" s="161"/>
    </row>
    <row r="23" spans="2:99" s="148" customFormat="1">
      <c r="B23" s="5"/>
      <c r="C23" s="5"/>
      <c r="D23" s="6"/>
      <c r="E23" s="5"/>
      <c r="F23" s="5"/>
      <c r="G23" s="6"/>
      <c r="H23" s="5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1"/>
      <c r="BN23" s="161"/>
      <c r="BO23" s="161"/>
      <c r="BP23" s="161"/>
      <c r="BQ23" s="161"/>
      <c r="BR23" s="161"/>
      <c r="BS23" s="161"/>
      <c r="BT23" s="161"/>
      <c r="BU23" s="161"/>
      <c r="BV23" s="161"/>
      <c r="BW23" s="161"/>
      <c r="BX23" s="161"/>
      <c r="BY23" s="161"/>
      <c r="BZ23" s="161"/>
      <c r="CA23" s="161"/>
      <c r="CB23" s="161"/>
      <c r="CC23" s="161"/>
      <c r="CD23" s="161"/>
      <c r="CE23" s="161"/>
      <c r="CF23" s="161"/>
      <c r="CG23" s="161"/>
      <c r="CH23" s="161"/>
      <c r="CI23" s="161"/>
      <c r="CJ23" s="161"/>
      <c r="CK23" s="161"/>
      <c r="CL23" s="161"/>
      <c r="CM23" s="161"/>
      <c r="CN23" s="161"/>
      <c r="CO23" s="161"/>
      <c r="CP23" s="161"/>
      <c r="CQ23" s="161"/>
      <c r="CR23" s="161"/>
      <c r="CS23" s="161"/>
      <c r="CT23" s="161"/>
      <c r="CU23" s="161"/>
    </row>
    <row r="24" spans="2:99" s="148" customFormat="1">
      <c r="B24" s="5"/>
      <c r="C24" s="5"/>
      <c r="D24" s="6"/>
      <c r="E24" s="5"/>
      <c r="F24" s="5"/>
      <c r="G24" s="6"/>
      <c r="H24" s="5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1"/>
      <c r="BN24" s="161"/>
      <c r="BO24" s="161"/>
      <c r="BP24" s="161"/>
      <c r="BQ24" s="161"/>
      <c r="BR24" s="161"/>
      <c r="BS24" s="161"/>
      <c r="BT24" s="161"/>
      <c r="BU24" s="161"/>
      <c r="BV24" s="161"/>
      <c r="BW24" s="161"/>
      <c r="BX24" s="161"/>
      <c r="BY24" s="161"/>
      <c r="BZ24" s="161"/>
      <c r="CA24" s="161"/>
      <c r="CB24" s="161"/>
      <c r="CC24" s="161"/>
      <c r="CD24" s="161"/>
      <c r="CE24" s="161"/>
      <c r="CF24" s="161"/>
      <c r="CG24" s="161"/>
      <c r="CH24" s="161"/>
      <c r="CI24" s="161"/>
      <c r="CJ24" s="161"/>
      <c r="CK24" s="161"/>
      <c r="CL24" s="161"/>
      <c r="CM24" s="161"/>
      <c r="CN24" s="161"/>
      <c r="CO24" s="161"/>
      <c r="CP24" s="161"/>
      <c r="CQ24" s="161"/>
      <c r="CR24" s="161"/>
      <c r="CS24" s="161"/>
      <c r="CT24" s="161"/>
      <c r="CU24" s="161"/>
    </row>
    <row r="25" spans="2:99" s="148" customFormat="1">
      <c r="B25" s="5"/>
      <c r="C25" s="5"/>
      <c r="D25" s="6"/>
      <c r="E25" s="5"/>
      <c r="F25" s="5"/>
      <c r="G25" s="6"/>
      <c r="H25" s="5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1"/>
      <c r="BN25" s="161"/>
      <c r="BO25" s="161"/>
      <c r="BP25" s="161"/>
      <c r="BQ25" s="161"/>
      <c r="BR25" s="161"/>
      <c r="BS25" s="161"/>
      <c r="BT25" s="161"/>
      <c r="BU25" s="161"/>
      <c r="BV25" s="161"/>
      <c r="BW25" s="161"/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1"/>
      <c r="CO25" s="161"/>
      <c r="CP25" s="161"/>
      <c r="CQ25" s="161"/>
      <c r="CR25" s="161"/>
      <c r="CS25" s="161"/>
      <c r="CT25" s="161"/>
      <c r="CU25" s="161"/>
    </row>
    <row r="26" spans="2:99" s="148" customFormat="1">
      <c r="B26" s="5"/>
      <c r="C26" s="5"/>
      <c r="D26" s="6"/>
      <c r="E26" s="5"/>
      <c r="F26" s="5"/>
      <c r="G26" s="6"/>
      <c r="H26" s="5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1"/>
      <c r="BN26" s="161"/>
      <c r="BO26" s="161"/>
      <c r="BP26" s="161"/>
      <c r="BQ26" s="161"/>
      <c r="BR26" s="161"/>
      <c r="BS26" s="161"/>
      <c r="BT26" s="161"/>
      <c r="BU26" s="161"/>
      <c r="BV26" s="161"/>
      <c r="BW26" s="161"/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1"/>
      <c r="CO26" s="161"/>
      <c r="CP26" s="161"/>
      <c r="CQ26" s="161"/>
      <c r="CR26" s="161"/>
      <c r="CS26" s="161"/>
      <c r="CT26" s="161"/>
      <c r="CU26" s="161"/>
    </row>
    <row r="27" spans="2:99" s="148" customFormat="1">
      <c r="B27" s="5"/>
      <c r="C27" s="5"/>
      <c r="D27" s="6"/>
      <c r="E27" s="5"/>
      <c r="F27" s="5"/>
      <c r="G27" s="6"/>
      <c r="H27" s="5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  <c r="BI27" s="161"/>
      <c r="BJ27" s="161"/>
      <c r="BK27" s="161"/>
      <c r="BL27" s="161"/>
      <c r="BM27" s="161"/>
      <c r="BN27" s="161"/>
      <c r="BO27" s="161"/>
      <c r="BP27" s="161"/>
      <c r="BQ27" s="161"/>
      <c r="BR27" s="161"/>
      <c r="BS27" s="161"/>
      <c r="BT27" s="161"/>
      <c r="BU27" s="161"/>
      <c r="BV27" s="161"/>
      <c r="BW27" s="161"/>
      <c r="BX27" s="161"/>
      <c r="BY27" s="161"/>
      <c r="BZ27" s="161"/>
      <c r="CA27" s="161"/>
      <c r="CB27" s="161"/>
      <c r="CC27" s="161"/>
      <c r="CD27" s="161"/>
      <c r="CE27" s="161"/>
      <c r="CF27" s="161"/>
      <c r="CG27" s="161"/>
      <c r="CH27" s="161"/>
      <c r="CI27" s="161"/>
      <c r="CJ27" s="161"/>
      <c r="CK27" s="161"/>
      <c r="CL27" s="161"/>
      <c r="CM27" s="161"/>
      <c r="CN27" s="161"/>
      <c r="CO27" s="161"/>
      <c r="CP27" s="161"/>
      <c r="CQ27" s="161"/>
      <c r="CR27" s="161"/>
      <c r="CS27" s="161"/>
      <c r="CT27" s="161"/>
      <c r="CU27" s="161"/>
    </row>
    <row r="28" spans="2:99" s="148" customFormat="1">
      <c r="B28" s="5"/>
      <c r="C28" s="5"/>
      <c r="D28" s="6"/>
      <c r="E28" s="5"/>
      <c r="F28" s="5"/>
      <c r="G28" s="6"/>
      <c r="H28" s="5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  <c r="BI28" s="161"/>
      <c r="BJ28" s="161"/>
      <c r="BK28" s="161"/>
      <c r="BL28" s="161"/>
      <c r="BM28" s="161"/>
      <c r="BN28" s="161"/>
      <c r="BO28" s="161"/>
      <c r="BP28" s="161"/>
      <c r="BQ28" s="161"/>
      <c r="BR28" s="161"/>
      <c r="BS28" s="161"/>
      <c r="BT28" s="161"/>
      <c r="BU28" s="161"/>
      <c r="BV28" s="161"/>
      <c r="BW28" s="161"/>
      <c r="BX28" s="161"/>
      <c r="BY28" s="161"/>
      <c r="BZ28" s="161"/>
      <c r="CA28" s="161"/>
      <c r="CB28" s="161"/>
      <c r="CC28" s="161"/>
      <c r="CD28" s="161"/>
      <c r="CE28" s="161"/>
      <c r="CF28" s="161"/>
      <c r="CG28" s="161"/>
      <c r="CH28" s="161"/>
      <c r="CI28" s="161"/>
      <c r="CJ28" s="161"/>
      <c r="CK28" s="161"/>
      <c r="CL28" s="161"/>
      <c r="CM28" s="161"/>
      <c r="CN28" s="161"/>
      <c r="CO28" s="161"/>
      <c r="CP28" s="161"/>
      <c r="CQ28" s="161"/>
      <c r="CR28" s="161"/>
      <c r="CS28" s="161"/>
      <c r="CT28" s="161"/>
      <c r="CU28" s="161"/>
    </row>
    <row r="29" spans="2:99" s="148" customFormat="1">
      <c r="B29" s="5"/>
      <c r="C29" s="5"/>
      <c r="D29" s="6"/>
      <c r="E29" s="5"/>
      <c r="F29" s="5"/>
      <c r="G29" s="6"/>
      <c r="H29" s="5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1"/>
      <c r="CM29" s="161"/>
      <c r="CN29" s="161"/>
      <c r="CO29" s="161"/>
      <c r="CP29" s="161"/>
      <c r="CQ29" s="161"/>
      <c r="CR29" s="161"/>
      <c r="CS29" s="161"/>
      <c r="CT29" s="161"/>
      <c r="CU29" s="161"/>
    </row>
    <row r="30" spans="2:99" s="148" customFormat="1">
      <c r="B30" s="5"/>
      <c r="C30" s="5"/>
      <c r="D30" s="6"/>
      <c r="E30" s="5"/>
      <c r="F30" s="5"/>
      <c r="G30" s="6"/>
      <c r="H30" s="5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/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/>
      <c r="CI30" s="161"/>
      <c r="CJ30" s="161"/>
      <c r="CK30" s="161"/>
      <c r="CL30" s="161"/>
      <c r="CM30" s="161"/>
      <c r="CN30" s="161"/>
      <c r="CO30" s="161"/>
      <c r="CP30" s="161"/>
      <c r="CQ30" s="161"/>
      <c r="CR30" s="161"/>
      <c r="CS30" s="161"/>
      <c r="CT30" s="161"/>
      <c r="CU30" s="161"/>
    </row>
    <row r="31" spans="2:99" s="148" customFormat="1">
      <c r="B31" s="5"/>
      <c r="C31" s="5"/>
      <c r="D31" s="6"/>
      <c r="E31" s="5"/>
      <c r="F31" s="5"/>
      <c r="G31" s="6"/>
      <c r="H31" s="5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/>
      <c r="BX31" s="161"/>
      <c r="BY31" s="161"/>
      <c r="BZ31" s="161"/>
      <c r="CA31" s="161"/>
      <c r="CB31" s="161"/>
      <c r="CC31" s="161"/>
      <c r="CD31" s="161"/>
      <c r="CE31" s="161"/>
      <c r="CF31" s="161"/>
      <c r="CG31" s="161"/>
      <c r="CH31" s="161"/>
      <c r="CI31" s="161"/>
      <c r="CJ31" s="161"/>
      <c r="CK31" s="161"/>
      <c r="CL31" s="161"/>
      <c r="CM31" s="161"/>
      <c r="CN31" s="161"/>
      <c r="CO31" s="161"/>
      <c r="CP31" s="161"/>
      <c r="CQ31" s="161"/>
      <c r="CR31" s="161"/>
      <c r="CS31" s="161"/>
      <c r="CT31" s="161"/>
      <c r="CU31" s="161"/>
    </row>
    <row r="32" spans="2:99" s="148" customFormat="1">
      <c r="B32" s="5"/>
      <c r="C32" s="5"/>
      <c r="D32" s="6"/>
      <c r="E32" s="5"/>
      <c r="F32" s="5"/>
      <c r="G32" s="6"/>
      <c r="H32" s="5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61"/>
      <c r="BN32" s="161"/>
      <c r="BO32" s="161"/>
      <c r="BP32" s="161"/>
      <c r="BQ32" s="161"/>
      <c r="BR32" s="161"/>
      <c r="BS32" s="161"/>
      <c r="BT32" s="161"/>
      <c r="BU32" s="161"/>
      <c r="BV32" s="161"/>
      <c r="BW32" s="161"/>
      <c r="BX32" s="161"/>
      <c r="BY32" s="161"/>
      <c r="BZ32" s="161"/>
      <c r="CA32" s="161"/>
      <c r="CB32" s="161"/>
      <c r="CC32" s="161"/>
      <c r="CD32" s="161"/>
      <c r="CE32" s="161"/>
      <c r="CF32" s="161"/>
      <c r="CG32" s="161"/>
      <c r="CH32" s="161"/>
      <c r="CI32" s="161"/>
      <c r="CJ32" s="161"/>
      <c r="CK32" s="161"/>
      <c r="CL32" s="161"/>
      <c r="CM32" s="161"/>
      <c r="CN32" s="161"/>
      <c r="CO32" s="161"/>
      <c r="CP32" s="161"/>
      <c r="CQ32" s="161"/>
      <c r="CR32" s="161"/>
      <c r="CS32" s="161"/>
      <c r="CT32" s="161"/>
      <c r="CU32" s="161"/>
    </row>
    <row r="33" spans="2:99" s="148" customFormat="1">
      <c r="B33" s="5"/>
      <c r="C33" s="5"/>
      <c r="D33" s="6"/>
      <c r="E33" s="5"/>
      <c r="F33" s="5"/>
      <c r="G33" s="6"/>
      <c r="H33" s="5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  <c r="BI33" s="161"/>
      <c r="BJ33" s="161"/>
      <c r="BK33" s="161"/>
      <c r="BL33" s="161"/>
      <c r="BM33" s="161"/>
      <c r="BN33" s="161"/>
      <c r="BO33" s="161"/>
      <c r="BP33" s="161"/>
      <c r="BQ33" s="161"/>
      <c r="BR33" s="161"/>
      <c r="BS33" s="161"/>
      <c r="BT33" s="161"/>
      <c r="BU33" s="161"/>
      <c r="BV33" s="161"/>
      <c r="BW33" s="161"/>
      <c r="BX33" s="161"/>
      <c r="BY33" s="161"/>
      <c r="BZ33" s="161"/>
      <c r="CA33" s="161"/>
      <c r="CB33" s="161"/>
      <c r="CC33" s="161"/>
      <c r="CD33" s="161"/>
      <c r="CE33" s="161"/>
      <c r="CF33" s="161"/>
      <c r="CG33" s="161"/>
      <c r="CH33" s="161"/>
      <c r="CI33" s="161"/>
      <c r="CJ33" s="161"/>
      <c r="CK33" s="161"/>
      <c r="CL33" s="161"/>
      <c r="CM33" s="161"/>
      <c r="CN33" s="161"/>
      <c r="CO33" s="161"/>
      <c r="CP33" s="161"/>
      <c r="CQ33" s="161"/>
      <c r="CR33" s="161"/>
      <c r="CS33" s="161"/>
      <c r="CT33" s="161"/>
      <c r="CU33" s="161"/>
    </row>
    <row r="34" spans="2:99" s="148" customFormat="1">
      <c r="B34" s="5"/>
      <c r="C34" s="5"/>
      <c r="D34" s="6"/>
      <c r="E34" s="5"/>
      <c r="F34" s="5"/>
      <c r="G34" s="6"/>
      <c r="H34" s="5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1"/>
      <c r="BN34" s="161"/>
      <c r="BO34" s="161"/>
      <c r="BP34" s="161"/>
      <c r="BQ34" s="161"/>
      <c r="BR34" s="161"/>
      <c r="BS34" s="161"/>
      <c r="BT34" s="161"/>
      <c r="BU34" s="161"/>
      <c r="BV34" s="161"/>
      <c r="BW34" s="161"/>
      <c r="BX34" s="161"/>
      <c r="BY34" s="161"/>
      <c r="BZ34" s="161"/>
      <c r="CA34" s="161"/>
      <c r="CB34" s="161"/>
      <c r="CC34" s="161"/>
      <c r="CD34" s="161"/>
      <c r="CE34" s="161"/>
      <c r="CF34" s="161"/>
      <c r="CG34" s="161"/>
      <c r="CH34" s="161"/>
      <c r="CI34" s="161"/>
      <c r="CJ34" s="161"/>
      <c r="CK34" s="161"/>
      <c r="CL34" s="161"/>
      <c r="CM34" s="161"/>
      <c r="CN34" s="161"/>
      <c r="CO34" s="161"/>
      <c r="CP34" s="161"/>
      <c r="CQ34" s="161"/>
      <c r="CR34" s="161"/>
      <c r="CS34" s="161"/>
      <c r="CT34" s="161"/>
      <c r="CU34" s="161"/>
    </row>
    <row r="35" spans="2:99" s="148" customFormat="1">
      <c r="B35" s="5"/>
      <c r="C35" s="5"/>
      <c r="D35" s="6"/>
      <c r="E35" s="5"/>
      <c r="F35" s="5"/>
      <c r="G35" s="6"/>
      <c r="H35" s="5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61"/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1"/>
      <c r="BR35" s="161"/>
      <c r="BS35" s="161"/>
      <c r="BT35" s="161"/>
      <c r="BU35" s="161"/>
      <c r="BV35" s="161"/>
      <c r="BW35" s="161"/>
      <c r="BX35" s="161"/>
      <c r="BY35" s="161"/>
      <c r="BZ35" s="161"/>
      <c r="CA35" s="161"/>
      <c r="CB35" s="161"/>
      <c r="CC35" s="161"/>
      <c r="CD35" s="161"/>
      <c r="CE35" s="161"/>
      <c r="CF35" s="161"/>
      <c r="CG35" s="161"/>
      <c r="CH35" s="161"/>
      <c r="CI35" s="161"/>
      <c r="CJ35" s="161"/>
      <c r="CK35" s="161"/>
      <c r="CL35" s="161"/>
      <c r="CM35" s="161"/>
      <c r="CN35" s="161"/>
      <c r="CO35" s="161"/>
      <c r="CP35" s="161"/>
      <c r="CQ35" s="161"/>
      <c r="CR35" s="161"/>
      <c r="CS35" s="161"/>
      <c r="CT35" s="161"/>
      <c r="CU35" s="161"/>
    </row>
    <row r="36" spans="2:99" s="148" customFormat="1">
      <c r="B36" s="5"/>
      <c r="C36" s="5"/>
      <c r="D36" s="6"/>
      <c r="E36" s="5"/>
      <c r="F36" s="5"/>
      <c r="G36" s="6"/>
      <c r="H36" s="5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61"/>
      <c r="BN36" s="161"/>
      <c r="BO36" s="161"/>
      <c r="BP36" s="161"/>
      <c r="BQ36" s="161"/>
      <c r="BR36" s="161"/>
      <c r="BS36" s="161"/>
      <c r="BT36" s="161"/>
      <c r="BU36" s="161"/>
      <c r="BV36" s="161"/>
      <c r="BW36" s="161"/>
      <c r="BX36" s="161"/>
      <c r="BY36" s="161"/>
      <c r="BZ36" s="161"/>
      <c r="CA36" s="161"/>
      <c r="CB36" s="161"/>
      <c r="CC36" s="161"/>
      <c r="CD36" s="161"/>
      <c r="CE36" s="161"/>
      <c r="CF36" s="161"/>
      <c r="CG36" s="161"/>
      <c r="CH36" s="161"/>
      <c r="CI36" s="161"/>
      <c r="CJ36" s="161"/>
      <c r="CK36" s="161"/>
      <c r="CL36" s="161"/>
      <c r="CM36" s="161"/>
      <c r="CN36" s="161"/>
      <c r="CO36" s="161"/>
      <c r="CP36" s="161"/>
      <c r="CQ36" s="161"/>
      <c r="CR36" s="161"/>
      <c r="CS36" s="161"/>
      <c r="CT36" s="161"/>
      <c r="CU36" s="161"/>
    </row>
    <row r="37" spans="2:99" s="148" customFormat="1">
      <c r="B37" s="5"/>
      <c r="C37" s="5"/>
      <c r="D37" s="6"/>
      <c r="E37" s="5"/>
      <c r="F37" s="5"/>
      <c r="G37" s="6"/>
      <c r="H37" s="5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1"/>
      <c r="BN37" s="161"/>
      <c r="BO37" s="161"/>
      <c r="BP37" s="161"/>
      <c r="BQ37" s="161"/>
      <c r="BR37" s="161"/>
      <c r="BS37" s="161"/>
      <c r="BT37" s="161"/>
      <c r="BU37" s="161"/>
      <c r="BV37" s="161"/>
      <c r="BW37" s="161"/>
      <c r="BX37" s="161"/>
      <c r="BY37" s="161"/>
      <c r="BZ37" s="161"/>
      <c r="CA37" s="161"/>
      <c r="CB37" s="161"/>
      <c r="CC37" s="161"/>
      <c r="CD37" s="161"/>
      <c r="CE37" s="161"/>
      <c r="CF37" s="161"/>
      <c r="CG37" s="161"/>
      <c r="CH37" s="161"/>
      <c r="CI37" s="161"/>
      <c r="CJ37" s="161"/>
      <c r="CK37" s="161"/>
      <c r="CL37" s="161"/>
      <c r="CM37" s="161"/>
      <c r="CN37" s="161"/>
      <c r="CO37" s="161"/>
      <c r="CP37" s="161"/>
      <c r="CQ37" s="161"/>
      <c r="CR37" s="161"/>
      <c r="CS37" s="161"/>
      <c r="CT37" s="161"/>
      <c r="CU37" s="161"/>
    </row>
    <row r="38" spans="2:99" s="148" customFormat="1">
      <c r="B38" s="5"/>
      <c r="C38" s="5"/>
      <c r="D38" s="6"/>
      <c r="E38" s="5"/>
      <c r="F38" s="5"/>
      <c r="G38" s="6"/>
      <c r="H38" s="5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61"/>
      <c r="AF38" s="161"/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  <c r="BI38" s="161"/>
      <c r="BJ38" s="161"/>
      <c r="BK38" s="161"/>
      <c r="BL38" s="161"/>
      <c r="BM38" s="161"/>
      <c r="BN38" s="161"/>
      <c r="BO38" s="161"/>
      <c r="BP38" s="161"/>
      <c r="BQ38" s="161"/>
      <c r="BR38" s="161"/>
      <c r="BS38" s="161"/>
      <c r="BT38" s="161"/>
      <c r="BU38" s="161"/>
      <c r="BV38" s="161"/>
      <c r="BW38" s="161"/>
      <c r="BX38" s="161"/>
      <c r="BY38" s="161"/>
      <c r="BZ38" s="161"/>
      <c r="CA38" s="161"/>
      <c r="CB38" s="161"/>
      <c r="CC38" s="161"/>
      <c r="CD38" s="161"/>
      <c r="CE38" s="161"/>
      <c r="CF38" s="161"/>
      <c r="CG38" s="161"/>
      <c r="CH38" s="161"/>
      <c r="CI38" s="161"/>
      <c r="CJ38" s="161"/>
      <c r="CK38" s="161"/>
      <c r="CL38" s="161"/>
      <c r="CM38" s="161"/>
      <c r="CN38" s="161"/>
      <c r="CO38" s="161"/>
      <c r="CP38" s="161"/>
      <c r="CQ38" s="161"/>
      <c r="CR38" s="161"/>
      <c r="CS38" s="161"/>
      <c r="CT38" s="161"/>
      <c r="CU38" s="161"/>
    </row>
    <row r="39" spans="2:99" s="148" customFormat="1">
      <c r="B39" s="5"/>
      <c r="C39" s="5"/>
      <c r="D39" s="6"/>
      <c r="E39" s="5"/>
      <c r="F39" s="5"/>
      <c r="G39" s="6"/>
      <c r="H39" s="5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61"/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  <c r="BI39" s="161"/>
      <c r="BJ39" s="161"/>
      <c r="BK39" s="161"/>
      <c r="BL39" s="161"/>
      <c r="BM39" s="161"/>
      <c r="BN39" s="161"/>
      <c r="BO39" s="161"/>
      <c r="BP39" s="161"/>
      <c r="BQ39" s="161"/>
      <c r="BR39" s="161"/>
      <c r="BS39" s="161"/>
      <c r="BT39" s="161"/>
      <c r="BU39" s="161"/>
      <c r="BV39" s="161"/>
      <c r="BW39" s="161"/>
      <c r="BX39" s="161"/>
      <c r="BY39" s="161"/>
      <c r="BZ39" s="161"/>
      <c r="CA39" s="161"/>
      <c r="CB39" s="161"/>
      <c r="CC39" s="161"/>
      <c r="CD39" s="161"/>
      <c r="CE39" s="161"/>
      <c r="CF39" s="161"/>
      <c r="CG39" s="161"/>
      <c r="CH39" s="161"/>
      <c r="CI39" s="161"/>
      <c r="CJ39" s="161"/>
      <c r="CK39" s="161"/>
      <c r="CL39" s="161"/>
      <c r="CM39" s="161"/>
      <c r="CN39" s="161"/>
      <c r="CO39" s="161"/>
      <c r="CP39" s="161"/>
      <c r="CQ39" s="161"/>
      <c r="CR39" s="161"/>
      <c r="CS39" s="161"/>
      <c r="CT39" s="161"/>
      <c r="CU39" s="161"/>
    </row>
    <row r="40" spans="2:99" s="148" customFormat="1">
      <c r="B40" s="5"/>
      <c r="C40" s="5"/>
      <c r="D40" s="6"/>
      <c r="E40" s="5"/>
      <c r="F40" s="5"/>
      <c r="G40" s="6"/>
      <c r="H40" s="5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61"/>
      <c r="AF40" s="161"/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  <c r="BI40" s="161"/>
      <c r="BJ40" s="161"/>
      <c r="BK40" s="161"/>
      <c r="BL40" s="161"/>
      <c r="BM40" s="161"/>
      <c r="BN40" s="161"/>
      <c r="BO40" s="161"/>
      <c r="BP40" s="161"/>
      <c r="BQ40" s="161"/>
      <c r="BR40" s="161"/>
      <c r="BS40" s="161"/>
      <c r="BT40" s="161"/>
      <c r="BU40" s="161"/>
      <c r="BV40" s="161"/>
      <c r="BW40" s="161"/>
      <c r="BX40" s="161"/>
      <c r="BY40" s="161"/>
      <c r="BZ40" s="161"/>
      <c r="CA40" s="161"/>
      <c r="CB40" s="161"/>
      <c r="CC40" s="161"/>
      <c r="CD40" s="161"/>
      <c r="CE40" s="161"/>
      <c r="CF40" s="161"/>
      <c r="CG40" s="161"/>
      <c r="CH40" s="161"/>
      <c r="CI40" s="161"/>
      <c r="CJ40" s="161"/>
      <c r="CK40" s="161"/>
      <c r="CL40" s="161"/>
      <c r="CM40" s="161"/>
      <c r="CN40" s="161"/>
      <c r="CO40" s="161"/>
      <c r="CP40" s="161"/>
      <c r="CQ40" s="161"/>
      <c r="CR40" s="161"/>
      <c r="CS40" s="161"/>
      <c r="CT40" s="161"/>
      <c r="CU40" s="161"/>
    </row>
    <row r="41" spans="2:99" s="148" customFormat="1">
      <c r="B41" s="5"/>
      <c r="C41" s="5"/>
      <c r="D41" s="6"/>
      <c r="E41" s="5"/>
      <c r="F41" s="5"/>
      <c r="G41" s="6"/>
      <c r="H41" s="5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61"/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  <c r="BI41" s="161"/>
      <c r="BJ41" s="161"/>
      <c r="BK41" s="161"/>
      <c r="BL41" s="161"/>
      <c r="BM41" s="161"/>
      <c r="BN41" s="161"/>
      <c r="BO41" s="161"/>
      <c r="BP41" s="161"/>
      <c r="BQ41" s="161"/>
      <c r="BR41" s="161"/>
      <c r="BS41" s="161"/>
      <c r="BT41" s="161"/>
      <c r="BU41" s="161"/>
      <c r="BV41" s="161"/>
      <c r="BW41" s="161"/>
      <c r="BX41" s="161"/>
      <c r="BY41" s="161"/>
      <c r="BZ41" s="161"/>
      <c r="CA41" s="161"/>
      <c r="CB41" s="161"/>
      <c r="CC41" s="161"/>
      <c r="CD41" s="161"/>
      <c r="CE41" s="161"/>
      <c r="CF41" s="161"/>
      <c r="CG41" s="161"/>
      <c r="CH41" s="161"/>
      <c r="CI41" s="161"/>
      <c r="CJ41" s="161"/>
      <c r="CK41" s="161"/>
      <c r="CL41" s="161"/>
      <c r="CM41" s="161"/>
      <c r="CN41" s="161"/>
      <c r="CO41" s="161"/>
      <c r="CP41" s="161"/>
      <c r="CQ41" s="161"/>
      <c r="CR41" s="161"/>
      <c r="CS41" s="161"/>
      <c r="CT41" s="161"/>
      <c r="CU41" s="161"/>
    </row>
    <row r="42" spans="2:99" s="148" customFormat="1">
      <c r="B42" s="5"/>
      <c r="C42" s="5"/>
      <c r="D42" s="6"/>
      <c r="E42" s="5"/>
      <c r="F42" s="5"/>
      <c r="G42" s="6"/>
      <c r="H42" s="5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  <c r="BI42" s="161"/>
      <c r="BJ42" s="161"/>
      <c r="BK42" s="161"/>
      <c r="BL42" s="161"/>
      <c r="BM42" s="161"/>
      <c r="BN42" s="161"/>
      <c r="BO42" s="161"/>
      <c r="BP42" s="161"/>
      <c r="BQ42" s="161"/>
      <c r="BR42" s="161"/>
      <c r="BS42" s="161"/>
      <c r="BT42" s="161"/>
      <c r="BU42" s="161"/>
      <c r="BV42" s="161"/>
      <c r="BW42" s="161"/>
      <c r="BX42" s="161"/>
      <c r="BY42" s="161"/>
      <c r="BZ42" s="161"/>
      <c r="CA42" s="161"/>
      <c r="CB42" s="161"/>
      <c r="CC42" s="161"/>
      <c r="CD42" s="161"/>
      <c r="CE42" s="161"/>
      <c r="CF42" s="161"/>
      <c r="CG42" s="161"/>
      <c r="CH42" s="161"/>
      <c r="CI42" s="161"/>
      <c r="CJ42" s="161"/>
      <c r="CK42" s="161"/>
      <c r="CL42" s="161"/>
      <c r="CM42" s="161"/>
      <c r="CN42" s="161"/>
      <c r="CO42" s="161"/>
      <c r="CP42" s="161"/>
      <c r="CQ42" s="161"/>
      <c r="CR42" s="161"/>
      <c r="CS42" s="161"/>
      <c r="CT42" s="161"/>
      <c r="CU42" s="161"/>
    </row>
    <row r="43" spans="2:99" s="148" customFormat="1">
      <c r="B43" s="5"/>
      <c r="C43" s="5"/>
      <c r="D43" s="6"/>
      <c r="E43" s="5"/>
      <c r="F43" s="5"/>
      <c r="G43" s="6"/>
      <c r="H43" s="5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161"/>
      <c r="AE43" s="161"/>
      <c r="AF43" s="161"/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  <c r="BI43" s="161"/>
      <c r="BJ43" s="161"/>
      <c r="BK43" s="161"/>
      <c r="BL43" s="161"/>
      <c r="BM43" s="161"/>
      <c r="BN43" s="161"/>
      <c r="BO43" s="161"/>
      <c r="BP43" s="161"/>
      <c r="BQ43" s="161"/>
      <c r="BR43" s="161"/>
      <c r="BS43" s="161"/>
      <c r="BT43" s="161"/>
      <c r="BU43" s="161"/>
      <c r="BV43" s="161"/>
      <c r="BW43" s="161"/>
      <c r="BX43" s="161"/>
      <c r="BY43" s="161"/>
      <c r="BZ43" s="161"/>
      <c r="CA43" s="161"/>
      <c r="CB43" s="161"/>
      <c r="CC43" s="161"/>
      <c r="CD43" s="161"/>
      <c r="CE43" s="161"/>
      <c r="CF43" s="161"/>
      <c r="CG43" s="161"/>
      <c r="CH43" s="161"/>
      <c r="CI43" s="161"/>
      <c r="CJ43" s="161"/>
      <c r="CK43" s="161"/>
      <c r="CL43" s="161"/>
      <c r="CM43" s="161"/>
      <c r="CN43" s="161"/>
      <c r="CO43" s="161"/>
      <c r="CP43" s="161"/>
      <c r="CQ43" s="161"/>
      <c r="CR43" s="161"/>
      <c r="CS43" s="161"/>
      <c r="CT43" s="161"/>
      <c r="CU43" s="161"/>
    </row>
    <row r="44" spans="2:99" s="148" customFormat="1">
      <c r="B44" s="5"/>
      <c r="C44" s="5"/>
      <c r="D44" s="6"/>
      <c r="E44" s="5"/>
      <c r="F44" s="5"/>
      <c r="G44" s="6"/>
      <c r="H44" s="5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1"/>
      <c r="AF44" s="161"/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  <c r="BI44" s="161"/>
      <c r="BJ44" s="161"/>
      <c r="BK44" s="161"/>
      <c r="BL44" s="161"/>
      <c r="BM44" s="161"/>
      <c r="BN44" s="161"/>
      <c r="BO44" s="161"/>
      <c r="BP44" s="161"/>
      <c r="BQ44" s="161"/>
      <c r="BR44" s="161"/>
      <c r="BS44" s="161"/>
      <c r="BT44" s="161"/>
      <c r="BU44" s="161"/>
      <c r="BV44" s="161"/>
      <c r="BW44" s="161"/>
      <c r="BX44" s="161"/>
      <c r="BY44" s="161"/>
      <c r="BZ44" s="161"/>
      <c r="CA44" s="161"/>
      <c r="CB44" s="161"/>
      <c r="CC44" s="161"/>
      <c r="CD44" s="161"/>
      <c r="CE44" s="161"/>
      <c r="CF44" s="161"/>
      <c r="CG44" s="161"/>
      <c r="CH44" s="161"/>
      <c r="CI44" s="161"/>
      <c r="CJ44" s="161"/>
      <c r="CK44" s="161"/>
      <c r="CL44" s="161"/>
      <c r="CM44" s="161"/>
      <c r="CN44" s="161"/>
      <c r="CO44" s="161"/>
      <c r="CP44" s="161"/>
      <c r="CQ44" s="161"/>
      <c r="CR44" s="161"/>
      <c r="CS44" s="161"/>
      <c r="CT44" s="161"/>
      <c r="CU44" s="161"/>
    </row>
    <row r="45" spans="2:99" s="148" customFormat="1">
      <c r="B45" s="5"/>
      <c r="C45" s="5"/>
      <c r="D45" s="6"/>
      <c r="E45" s="5"/>
      <c r="F45" s="5"/>
      <c r="G45" s="6"/>
      <c r="H45" s="5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  <c r="BI45" s="161"/>
      <c r="BJ45" s="161"/>
      <c r="BK45" s="161"/>
      <c r="BL45" s="161"/>
      <c r="BM45" s="161"/>
      <c r="BN45" s="161"/>
      <c r="BO45" s="161"/>
      <c r="BP45" s="161"/>
      <c r="BQ45" s="161"/>
      <c r="BR45" s="161"/>
      <c r="BS45" s="161"/>
      <c r="BT45" s="161"/>
      <c r="BU45" s="161"/>
      <c r="BV45" s="161"/>
      <c r="BW45" s="161"/>
      <c r="BX45" s="161"/>
      <c r="BY45" s="161"/>
      <c r="BZ45" s="161"/>
      <c r="CA45" s="161"/>
      <c r="CB45" s="161"/>
      <c r="CC45" s="161"/>
      <c r="CD45" s="161"/>
      <c r="CE45" s="161"/>
      <c r="CF45" s="161"/>
      <c r="CG45" s="161"/>
      <c r="CH45" s="161"/>
      <c r="CI45" s="161"/>
      <c r="CJ45" s="161"/>
      <c r="CK45" s="161"/>
      <c r="CL45" s="161"/>
      <c r="CM45" s="161"/>
      <c r="CN45" s="161"/>
      <c r="CO45" s="161"/>
      <c r="CP45" s="161"/>
      <c r="CQ45" s="161"/>
      <c r="CR45" s="161"/>
      <c r="CS45" s="161"/>
      <c r="CT45" s="161"/>
      <c r="CU45" s="161"/>
    </row>
    <row r="46" spans="2:99" s="148" customFormat="1">
      <c r="B46" s="5"/>
      <c r="C46" s="5"/>
      <c r="D46" s="6"/>
      <c r="E46" s="5"/>
      <c r="F46" s="5"/>
      <c r="G46" s="6"/>
      <c r="H46" s="5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  <c r="BI46" s="161"/>
      <c r="BJ46" s="161"/>
      <c r="BK46" s="161"/>
      <c r="BL46" s="161"/>
      <c r="BM46" s="161"/>
      <c r="BN46" s="161"/>
      <c r="BO46" s="161"/>
      <c r="BP46" s="161"/>
      <c r="BQ46" s="161"/>
      <c r="BR46" s="161"/>
      <c r="BS46" s="161"/>
      <c r="BT46" s="161"/>
      <c r="BU46" s="161"/>
      <c r="BV46" s="161"/>
      <c r="BW46" s="161"/>
      <c r="BX46" s="161"/>
      <c r="BY46" s="161"/>
      <c r="BZ46" s="161"/>
      <c r="CA46" s="161"/>
      <c r="CB46" s="161"/>
      <c r="CC46" s="161"/>
      <c r="CD46" s="161"/>
      <c r="CE46" s="161"/>
      <c r="CF46" s="161"/>
      <c r="CG46" s="161"/>
      <c r="CH46" s="161"/>
      <c r="CI46" s="161"/>
      <c r="CJ46" s="161"/>
      <c r="CK46" s="161"/>
      <c r="CL46" s="161"/>
      <c r="CM46" s="161"/>
      <c r="CN46" s="161"/>
      <c r="CO46" s="161"/>
      <c r="CP46" s="161"/>
      <c r="CQ46" s="161"/>
      <c r="CR46" s="161"/>
      <c r="CS46" s="161"/>
      <c r="CT46" s="161"/>
      <c r="CU46" s="161"/>
    </row>
    <row r="47" spans="2:99" s="148" customFormat="1">
      <c r="B47" s="5"/>
      <c r="C47" s="5"/>
      <c r="D47" s="6"/>
      <c r="E47" s="5"/>
      <c r="F47" s="5"/>
      <c r="G47" s="6"/>
      <c r="H47" s="5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  <c r="AA47" s="161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  <c r="BI47" s="161"/>
      <c r="BJ47" s="161"/>
      <c r="BK47" s="161"/>
      <c r="BL47" s="161"/>
      <c r="BM47" s="161"/>
      <c r="BN47" s="161"/>
      <c r="BO47" s="161"/>
      <c r="BP47" s="161"/>
      <c r="BQ47" s="161"/>
      <c r="BR47" s="161"/>
      <c r="BS47" s="161"/>
      <c r="BT47" s="161"/>
      <c r="BU47" s="161"/>
      <c r="BV47" s="161"/>
      <c r="BW47" s="161"/>
      <c r="BX47" s="161"/>
      <c r="BY47" s="161"/>
      <c r="BZ47" s="161"/>
      <c r="CA47" s="161"/>
      <c r="CB47" s="161"/>
      <c r="CC47" s="161"/>
      <c r="CD47" s="161"/>
      <c r="CE47" s="161"/>
      <c r="CF47" s="161"/>
      <c r="CG47" s="161"/>
      <c r="CH47" s="161"/>
      <c r="CI47" s="161"/>
      <c r="CJ47" s="161"/>
      <c r="CK47" s="161"/>
      <c r="CL47" s="161"/>
      <c r="CM47" s="161"/>
      <c r="CN47" s="161"/>
      <c r="CO47" s="161"/>
      <c r="CP47" s="161"/>
      <c r="CQ47" s="161"/>
      <c r="CR47" s="161"/>
      <c r="CS47" s="161"/>
      <c r="CT47" s="161"/>
      <c r="CU47" s="161"/>
    </row>
    <row r="48" spans="2:99" s="148" customFormat="1">
      <c r="B48" s="5"/>
      <c r="C48" s="5"/>
      <c r="D48" s="6"/>
      <c r="E48" s="5"/>
      <c r="F48" s="5"/>
      <c r="G48" s="6"/>
      <c r="H48" s="5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  <c r="BI48" s="161"/>
      <c r="BJ48" s="161"/>
      <c r="BK48" s="161"/>
      <c r="BL48" s="161"/>
      <c r="BM48" s="161"/>
      <c r="BN48" s="161"/>
      <c r="BO48" s="161"/>
      <c r="BP48" s="161"/>
      <c r="BQ48" s="161"/>
      <c r="BR48" s="161"/>
      <c r="BS48" s="161"/>
      <c r="BT48" s="161"/>
      <c r="BU48" s="161"/>
      <c r="BV48" s="161"/>
      <c r="BW48" s="161"/>
      <c r="BX48" s="161"/>
      <c r="BY48" s="161"/>
      <c r="BZ48" s="161"/>
      <c r="CA48" s="161"/>
      <c r="CB48" s="161"/>
      <c r="CC48" s="161"/>
      <c r="CD48" s="161"/>
      <c r="CE48" s="161"/>
      <c r="CF48" s="161"/>
      <c r="CG48" s="161"/>
      <c r="CH48" s="161"/>
      <c r="CI48" s="161"/>
      <c r="CJ48" s="161"/>
      <c r="CK48" s="161"/>
      <c r="CL48" s="161"/>
      <c r="CM48" s="161"/>
      <c r="CN48" s="161"/>
      <c r="CO48" s="161"/>
      <c r="CP48" s="161"/>
      <c r="CQ48" s="161"/>
      <c r="CR48" s="161"/>
      <c r="CS48" s="161"/>
      <c r="CT48" s="161"/>
      <c r="CU48" s="161"/>
    </row>
    <row r="49" spans="2:99" s="148" customFormat="1">
      <c r="B49" s="5"/>
      <c r="C49" s="5"/>
      <c r="D49" s="6"/>
      <c r="E49" s="5"/>
      <c r="F49" s="5"/>
      <c r="G49" s="6"/>
      <c r="H49" s="5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  <c r="BI49" s="161"/>
      <c r="BJ49" s="161"/>
      <c r="BK49" s="161"/>
      <c r="BL49" s="161"/>
      <c r="BM49" s="161"/>
      <c r="BN49" s="161"/>
      <c r="BO49" s="161"/>
      <c r="BP49" s="161"/>
      <c r="BQ49" s="161"/>
      <c r="BR49" s="161"/>
      <c r="BS49" s="161"/>
      <c r="BT49" s="161"/>
      <c r="BU49" s="161"/>
      <c r="BV49" s="161"/>
      <c r="BW49" s="161"/>
      <c r="BX49" s="161"/>
      <c r="BY49" s="161"/>
      <c r="BZ49" s="161"/>
      <c r="CA49" s="161"/>
      <c r="CB49" s="161"/>
      <c r="CC49" s="161"/>
      <c r="CD49" s="161"/>
      <c r="CE49" s="161"/>
      <c r="CF49" s="161"/>
      <c r="CG49" s="161"/>
      <c r="CH49" s="161"/>
      <c r="CI49" s="161"/>
      <c r="CJ49" s="161"/>
      <c r="CK49" s="161"/>
      <c r="CL49" s="161"/>
      <c r="CM49" s="161"/>
      <c r="CN49" s="161"/>
      <c r="CO49" s="161"/>
      <c r="CP49" s="161"/>
      <c r="CQ49" s="161"/>
      <c r="CR49" s="161"/>
      <c r="CS49" s="161"/>
      <c r="CT49" s="161"/>
      <c r="CU49" s="161"/>
    </row>
    <row r="50" spans="2:99" s="148" customFormat="1">
      <c r="B50" s="5"/>
      <c r="C50" s="5"/>
      <c r="D50" s="6"/>
      <c r="E50" s="5"/>
      <c r="F50" s="5"/>
      <c r="G50" s="6"/>
      <c r="H50" s="5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  <c r="BI50" s="161"/>
      <c r="BJ50" s="161"/>
      <c r="BK50" s="161"/>
      <c r="BL50" s="161"/>
      <c r="BM50" s="161"/>
      <c r="BN50" s="161"/>
      <c r="BO50" s="161"/>
      <c r="BP50" s="161"/>
      <c r="BQ50" s="161"/>
      <c r="BR50" s="161"/>
      <c r="BS50" s="161"/>
      <c r="BT50" s="161"/>
      <c r="BU50" s="161"/>
      <c r="BV50" s="161"/>
      <c r="BW50" s="161"/>
      <c r="BX50" s="161"/>
      <c r="BY50" s="161"/>
      <c r="BZ50" s="161"/>
      <c r="CA50" s="161"/>
      <c r="CB50" s="161"/>
      <c r="CC50" s="161"/>
      <c r="CD50" s="161"/>
      <c r="CE50" s="161"/>
      <c r="CF50" s="161"/>
      <c r="CG50" s="161"/>
      <c r="CH50" s="161"/>
      <c r="CI50" s="161"/>
      <c r="CJ50" s="161"/>
      <c r="CK50" s="161"/>
      <c r="CL50" s="161"/>
      <c r="CM50" s="161"/>
      <c r="CN50" s="161"/>
      <c r="CO50" s="161"/>
      <c r="CP50" s="161"/>
      <c r="CQ50" s="161"/>
      <c r="CR50" s="161"/>
      <c r="CS50" s="161"/>
      <c r="CT50" s="161"/>
      <c r="CU50" s="161"/>
    </row>
    <row r="51" spans="2:99" s="148" customFormat="1">
      <c r="B51" s="5"/>
      <c r="C51" s="5"/>
      <c r="D51" s="6"/>
      <c r="E51" s="5"/>
      <c r="F51" s="5"/>
      <c r="G51" s="6"/>
      <c r="H51" s="5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  <c r="BI51" s="161"/>
      <c r="BJ51" s="161"/>
      <c r="BK51" s="161"/>
      <c r="BL51" s="161"/>
      <c r="BM51" s="161"/>
      <c r="BN51" s="161"/>
      <c r="BO51" s="161"/>
      <c r="BP51" s="161"/>
      <c r="BQ51" s="161"/>
      <c r="BR51" s="161"/>
      <c r="BS51" s="161"/>
      <c r="BT51" s="161"/>
      <c r="BU51" s="161"/>
      <c r="BV51" s="161"/>
      <c r="BW51" s="161"/>
      <c r="BX51" s="161"/>
      <c r="BY51" s="161"/>
      <c r="BZ51" s="161"/>
      <c r="CA51" s="161"/>
      <c r="CB51" s="161"/>
      <c r="CC51" s="161"/>
      <c r="CD51" s="161"/>
      <c r="CE51" s="161"/>
      <c r="CF51" s="161"/>
      <c r="CG51" s="161"/>
      <c r="CH51" s="161"/>
      <c r="CI51" s="161"/>
      <c r="CJ51" s="161"/>
      <c r="CK51" s="161"/>
      <c r="CL51" s="161"/>
      <c r="CM51" s="161"/>
      <c r="CN51" s="161"/>
      <c r="CO51" s="161"/>
      <c r="CP51" s="161"/>
      <c r="CQ51" s="161"/>
      <c r="CR51" s="161"/>
      <c r="CS51" s="161"/>
      <c r="CT51" s="161"/>
      <c r="CU51" s="161"/>
    </row>
    <row r="52" spans="2:99" s="148" customFormat="1">
      <c r="B52" s="5"/>
      <c r="C52" s="5"/>
      <c r="D52" s="6"/>
      <c r="E52" s="5"/>
      <c r="F52" s="5"/>
      <c r="G52" s="6"/>
      <c r="H52" s="5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  <c r="BI52" s="161"/>
      <c r="BJ52" s="161"/>
      <c r="BK52" s="161"/>
      <c r="BL52" s="161"/>
      <c r="BM52" s="161"/>
      <c r="BN52" s="161"/>
      <c r="BO52" s="161"/>
      <c r="BP52" s="161"/>
      <c r="BQ52" s="161"/>
      <c r="BR52" s="161"/>
      <c r="BS52" s="161"/>
      <c r="BT52" s="161"/>
      <c r="BU52" s="161"/>
      <c r="BV52" s="161"/>
      <c r="BW52" s="161"/>
      <c r="BX52" s="161"/>
      <c r="BY52" s="161"/>
      <c r="BZ52" s="161"/>
      <c r="CA52" s="161"/>
      <c r="CB52" s="161"/>
      <c r="CC52" s="161"/>
      <c r="CD52" s="161"/>
      <c r="CE52" s="161"/>
      <c r="CF52" s="161"/>
      <c r="CG52" s="161"/>
      <c r="CH52" s="161"/>
      <c r="CI52" s="161"/>
      <c r="CJ52" s="161"/>
      <c r="CK52" s="161"/>
      <c r="CL52" s="161"/>
      <c r="CM52" s="161"/>
      <c r="CN52" s="161"/>
      <c r="CO52" s="161"/>
      <c r="CP52" s="161"/>
      <c r="CQ52" s="161"/>
      <c r="CR52" s="161"/>
      <c r="CS52" s="161"/>
      <c r="CT52" s="161"/>
      <c r="CU52" s="161"/>
    </row>
    <row r="53" spans="2:99" s="148" customFormat="1">
      <c r="B53" s="5"/>
      <c r="C53" s="5"/>
      <c r="D53" s="6"/>
      <c r="E53" s="5"/>
      <c r="F53" s="5"/>
      <c r="G53" s="6"/>
      <c r="H53" s="5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  <c r="BI53" s="161"/>
      <c r="BJ53" s="161"/>
      <c r="BK53" s="161"/>
      <c r="BL53" s="161"/>
      <c r="BM53" s="161"/>
      <c r="BN53" s="161"/>
      <c r="BO53" s="161"/>
      <c r="BP53" s="161"/>
      <c r="BQ53" s="161"/>
      <c r="BR53" s="161"/>
      <c r="BS53" s="161"/>
      <c r="BT53" s="161"/>
      <c r="BU53" s="161"/>
      <c r="BV53" s="161"/>
      <c r="BW53" s="161"/>
      <c r="BX53" s="161"/>
      <c r="BY53" s="161"/>
      <c r="BZ53" s="161"/>
      <c r="CA53" s="161"/>
      <c r="CB53" s="161"/>
      <c r="CC53" s="161"/>
      <c r="CD53" s="161"/>
      <c r="CE53" s="161"/>
      <c r="CF53" s="161"/>
      <c r="CG53" s="161"/>
      <c r="CH53" s="161"/>
      <c r="CI53" s="161"/>
      <c r="CJ53" s="161"/>
      <c r="CK53" s="161"/>
      <c r="CL53" s="161"/>
      <c r="CM53" s="161"/>
      <c r="CN53" s="161"/>
      <c r="CO53" s="161"/>
      <c r="CP53" s="161"/>
      <c r="CQ53" s="161"/>
      <c r="CR53" s="161"/>
      <c r="CS53" s="161"/>
      <c r="CT53" s="161"/>
      <c r="CU53" s="161"/>
    </row>
    <row r="54" spans="2:99" s="148" customFormat="1">
      <c r="B54" s="5"/>
      <c r="C54" s="5"/>
      <c r="D54" s="6"/>
      <c r="E54" s="5"/>
      <c r="F54" s="5"/>
      <c r="G54" s="6"/>
      <c r="H54" s="5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  <c r="BI54" s="161"/>
      <c r="BJ54" s="161"/>
      <c r="BK54" s="161"/>
      <c r="BL54" s="161"/>
      <c r="BM54" s="161"/>
      <c r="BN54" s="161"/>
      <c r="BO54" s="161"/>
      <c r="BP54" s="161"/>
      <c r="BQ54" s="161"/>
      <c r="BR54" s="161"/>
      <c r="BS54" s="161"/>
      <c r="BT54" s="161"/>
      <c r="BU54" s="161"/>
      <c r="BV54" s="161"/>
      <c r="BW54" s="161"/>
      <c r="BX54" s="161"/>
      <c r="BY54" s="161"/>
      <c r="BZ54" s="161"/>
      <c r="CA54" s="161"/>
      <c r="CB54" s="161"/>
      <c r="CC54" s="161"/>
      <c r="CD54" s="161"/>
      <c r="CE54" s="161"/>
      <c r="CF54" s="161"/>
      <c r="CG54" s="161"/>
      <c r="CH54" s="161"/>
      <c r="CI54" s="161"/>
      <c r="CJ54" s="161"/>
      <c r="CK54" s="161"/>
      <c r="CL54" s="161"/>
      <c r="CM54" s="161"/>
      <c r="CN54" s="161"/>
      <c r="CO54" s="161"/>
      <c r="CP54" s="161"/>
      <c r="CQ54" s="161"/>
      <c r="CR54" s="161"/>
      <c r="CS54" s="161"/>
      <c r="CT54" s="161"/>
      <c r="CU54" s="161"/>
    </row>
    <row r="55" spans="2:99" s="148" customFormat="1">
      <c r="B55" s="5"/>
      <c r="C55" s="5"/>
      <c r="D55" s="6"/>
      <c r="E55" s="5"/>
      <c r="F55" s="5"/>
      <c r="G55" s="6"/>
      <c r="H55" s="5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61"/>
      <c r="BL55" s="161"/>
      <c r="BM55" s="161"/>
      <c r="BN55" s="161"/>
      <c r="BO55" s="161"/>
      <c r="BP55" s="161"/>
      <c r="BQ55" s="161"/>
      <c r="BR55" s="161"/>
      <c r="BS55" s="161"/>
      <c r="BT55" s="161"/>
      <c r="BU55" s="161"/>
      <c r="BV55" s="161"/>
      <c r="BW55" s="161"/>
      <c r="BX55" s="161"/>
      <c r="BY55" s="161"/>
      <c r="BZ55" s="161"/>
      <c r="CA55" s="161"/>
      <c r="CB55" s="161"/>
      <c r="CC55" s="161"/>
      <c r="CD55" s="161"/>
      <c r="CE55" s="161"/>
      <c r="CF55" s="161"/>
      <c r="CG55" s="161"/>
      <c r="CH55" s="161"/>
      <c r="CI55" s="161"/>
      <c r="CJ55" s="161"/>
      <c r="CK55" s="161"/>
      <c r="CL55" s="161"/>
      <c r="CM55" s="161"/>
      <c r="CN55" s="161"/>
      <c r="CO55" s="161"/>
      <c r="CP55" s="161"/>
      <c r="CQ55" s="161"/>
      <c r="CR55" s="161"/>
      <c r="CS55" s="161"/>
      <c r="CT55" s="161"/>
      <c r="CU55" s="161"/>
    </row>
    <row r="56" spans="2:99" s="148" customFormat="1">
      <c r="B56" s="5"/>
      <c r="C56" s="5"/>
      <c r="D56" s="6"/>
      <c r="E56" s="5"/>
      <c r="F56" s="5"/>
      <c r="G56" s="6"/>
      <c r="H56" s="5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1"/>
      <c r="AB56" s="161"/>
      <c r="AC56" s="161"/>
      <c r="AD56" s="161"/>
      <c r="AE56" s="161"/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  <c r="BI56" s="161"/>
      <c r="BJ56" s="161"/>
      <c r="BK56" s="161"/>
      <c r="BL56" s="161"/>
      <c r="BM56" s="161"/>
      <c r="BN56" s="161"/>
      <c r="BO56" s="161"/>
      <c r="BP56" s="161"/>
      <c r="BQ56" s="161"/>
      <c r="BR56" s="161"/>
      <c r="BS56" s="161"/>
      <c r="BT56" s="161"/>
      <c r="BU56" s="161"/>
      <c r="BV56" s="161"/>
      <c r="BW56" s="161"/>
      <c r="BX56" s="161"/>
      <c r="BY56" s="161"/>
      <c r="BZ56" s="161"/>
      <c r="CA56" s="161"/>
      <c r="CB56" s="161"/>
      <c r="CC56" s="161"/>
      <c r="CD56" s="161"/>
      <c r="CE56" s="161"/>
      <c r="CF56" s="161"/>
      <c r="CG56" s="161"/>
      <c r="CH56" s="161"/>
      <c r="CI56" s="161"/>
      <c r="CJ56" s="161"/>
      <c r="CK56" s="161"/>
      <c r="CL56" s="161"/>
      <c r="CM56" s="161"/>
      <c r="CN56" s="161"/>
      <c r="CO56" s="161"/>
      <c r="CP56" s="161"/>
      <c r="CQ56" s="161"/>
      <c r="CR56" s="161"/>
      <c r="CS56" s="161"/>
      <c r="CT56" s="161"/>
      <c r="CU56" s="161"/>
    </row>
    <row r="57" spans="2:99" s="148" customFormat="1">
      <c r="B57" s="5"/>
      <c r="C57" s="5"/>
      <c r="D57" s="6"/>
      <c r="E57" s="5"/>
      <c r="F57" s="5"/>
      <c r="G57" s="6"/>
      <c r="H57" s="5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61"/>
      <c r="AB57" s="161"/>
      <c r="AC57" s="161"/>
      <c r="AD57" s="161"/>
      <c r="AE57" s="161"/>
      <c r="AF57" s="161"/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  <c r="BI57" s="161"/>
      <c r="BJ57" s="161"/>
      <c r="BK57" s="161"/>
      <c r="BL57" s="161"/>
      <c r="BM57" s="161"/>
      <c r="BN57" s="161"/>
      <c r="BO57" s="161"/>
      <c r="BP57" s="161"/>
      <c r="BQ57" s="161"/>
      <c r="BR57" s="161"/>
      <c r="BS57" s="161"/>
      <c r="BT57" s="161"/>
      <c r="BU57" s="161"/>
      <c r="BV57" s="161"/>
      <c r="BW57" s="161"/>
      <c r="BX57" s="161"/>
      <c r="BY57" s="161"/>
      <c r="BZ57" s="161"/>
      <c r="CA57" s="161"/>
      <c r="CB57" s="161"/>
      <c r="CC57" s="161"/>
      <c r="CD57" s="161"/>
      <c r="CE57" s="161"/>
      <c r="CF57" s="161"/>
      <c r="CG57" s="161"/>
      <c r="CH57" s="161"/>
      <c r="CI57" s="161"/>
      <c r="CJ57" s="161"/>
      <c r="CK57" s="161"/>
      <c r="CL57" s="161"/>
      <c r="CM57" s="161"/>
      <c r="CN57" s="161"/>
      <c r="CO57" s="161"/>
      <c r="CP57" s="161"/>
      <c r="CQ57" s="161"/>
      <c r="CR57" s="161"/>
      <c r="CS57" s="161"/>
      <c r="CT57" s="161"/>
      <c r="CU57" s="161"/>
    </row>
    <row r="58" spans="2:99" s="148" customFormat="1">
      <c r="B58" s="5"/>
      <c r="C58" s="5"/>
      <c r="D58" s="6"/>
      <c r="E58" s="5"/>
      <c r="F58" s="5"/>
      <c r="G58" s="6"/>
      <c r="H58" s="5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  <c r="BI58" s="161"/>
      <c r="BJ58" s="161"/>
      <c r="BK58" s="161"/>
      <c r="BL58" s="161"/>
      <c r="BM58" s="161"/>
      <c r="BN58" s="161"/>
      <c r="BO58" s="161"/>
      <c r="BP58" s="161"/>
      <c r="BQ58" s="161"/>
      <c r="BR58" s="161"/>
      <c r="BS58" s="161"/>
      <c r="BT58" s="161"/>
      <c r="BU58" s="161"/>
      <c r="BV58" s="161"/>
      <c r="BW58" s="161"/>
      <c r="BX58" s="161"/>
      <c r="BY58" s="161"/>
      <c r="BZ58" s="161"/>
      <c r="CA58" s="161"/>
      <c r="CB58" s="161"/>
      <c r="CC58" s="161"/>
      <c r="CD58" s="161"/>
      <c r="CE58" s="161"/>
      <c r="CF58" s="161"/>
      <c r="CG58" s="161"/>
      <c r="CH58" s="161"/>
      <c r="CI58" s="161"/>
      <c r="CJ58" s="161"/>
      <c r="CK58" s="161"/>
      <c r="CL58" s="161"/>
      <c r="CM58" s="161"/>
      <c r="CN58" s="161"/>
      <c r="CO58" s="161"/>
      <c r="CP58" s="161"/>
      <c r="CQ58" s="161"/>
      <c r="CR58" s="161"/>
      <c r="CS58" s="161"/>
      <c r="CT58" s="161"/>
      <c r="CU58" s="161"/>
    </row>
    <row r="59" spans="2:99" s="148" customFormat="1">
      <c r="B59" s="5"/>
      <c r="C59" s="5"/>
      <c r="D59" s="6"/>
      <c r="E59" s="5"/>
      <c r="F59" s="5"/>
      <c r="G59" s="6"/>
      <c r="H59" s="5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1"/>
      <c r="BK59" s="161"/>
      <c r="BL59" s="161"/>
      <c r="BM59" s="161"/>
      <c r="BN59" s="161"/>
      <c r="BO59" s="161"/>
      <c r="BP59" s="161"/>
      <c r="BQ59" s="161"/>
      <c r="BR59" s="161"/>
      <c r="BS59" s="161"/>
      <c r="BT59" s="161"/>
      <c r="BU59" s="161"/>
      <c r="BV59" s="161"/>
      <c r="BW59" s="161"/>
      <c r="BX59" s="161"/>
      <c r="BY59" s="161"/>
      <c r="BZ59" s="161"/>
      <c r="CA59" s="161"/>
      <c r="CB59" s="161"/>
      <c r="CC59" s="161"/>
      <c r="CD59" s="161"/>
      <c r="CE59" s="161"/>
      <c r="CF59" s="161"/>
      <c r="CG59" s="161"/>
      <c r="CH59" s="161"/>
      <c r="CI59" s="161"/>
      <c r="CJ59" s="161"/>
      <c r="CK59" s="161"/>
      <c r="CL59" s="161"/>
      <c r="CM59" s="161"/>
      <c r="CN59" s="161"/>
      <c r="CO59" s="161"/>
      <c r="CP59" s="161"/>
      <c r="CQ59" s="161"/>
      <c r="CR59" s="161"/>
      <c r="CS59" s="161"/>
      <c r="CT59" s="161"/>
      <c r="CU59" s="161"/>
    </row>
    <row r="60" spans="2:99" s="148" customFormat="1">
      <c r="B60" s="5"/>
      <c r="C60" s="5"/>
      <c r="D60" s="6"/>
      <c r="E60" s="5"/>
      <c r="F60" s="5"/>
      <c r="G60" s="6"/>
      <c r="H60" s="5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  <c r="BI60" s="161"/>
      <c r="BJ60" s="161"/>
      <c r="BK60" s="161"/>
      <c r="BL60" s="161"/>
      <c r="BM60" s="161"/>
      <c r="BN60" s="161"/>
      <c r="BO60" s="161"/>
      <c r="BP60" s="161"/>
      <c r="BQ60" s="161"/>
      <c r="BR60" s="161"/>
      <c r="BS60" s="161"/>
      <c r="BT60" s="161"/>
      <c r="BU60" s="161"/>
      <c r="BV60" s="161"/>
      <c r="BW60" s="161"/>
      <c r="BX60" s="161"/>
      <c r="BY60" s="161"/>
      <c r="BZ60" s="161"/>
      <c r="CA60" s="161"/>
      <c r="CB60" s="161"/>
      <c r="CC60" s="161"/>
      <c r="CD60" s="161"/>
      <c r="CE60" s="161"/>
      <c r="CF60" s="161"/>
      <c r="CG60" s="161"/>
      <c r="CH60" s="161"/>
      <c r="CI60" s="161"/>
      <c r="CJ60" s="161"/>
      <c r="CK60" s="161"/>
      <c r="CL60" s="161"/>
      <c r="CM60" s="161"/>
      <c r="CN60" s="161"/>
      <c r="CO60" s="161"/>
      <c r="CP60" s="161"/>
      <c r="CQ60" s="161"/>
      <c r="CR60" s="161"/>
      <c r="CS60" s="161"/>
      <c r="CT60" s="161"/>
      <c r="CU60" s="161"/>
    </row>
    <row r="61" spans="2:99" s="148" customFormat="1">
      <c r="B61" s="5"/>
      <c r="C61" s="5"/>
      <c r="D61" s="6"/>
      <c r="E61" s="5"/>
      <c r="F61" s="5"/>
      <c r="G61" s="6"/>
      <c r="H61" s="5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  <c r="BI61" s="161"/>
      <c r="BJ61" s="161"/>
      <c r="BK61" s="161"/>
      <c r="BL61" s="161"/>
      <c r="BM61" s="161"/>
      <c r="BN61" s="161"/>
      <c r="BO61" s="161"/>
      <c r="BP61" s="161"/>
      <c r="BQ61" s="161"/>
      <c r="BR61" s="161"/>
      <c r="BS61" s="161"/>
      <c r="BT61" s="161"/>
      <c r="BU61" s="161"/>
      <c r="BV61" s="161"/>
      <c r="BW61" s="161"/>
      <c r="BX61" s="161"/>
      <c r="BY61" s="161"/>
      <c r="BZ61" s="161"/>
      <c r="CA61" s="161"/>
      <c r="CB61" s="161"/>
      <c r="CC61" s="161"/>
      <c r="CD61" s="161"/>
      <c r="CE61" s="161"/>
      <c r="CF61" s="161"/>
      <c r="CG61" s="161"/>
      <c r="CH61" s="161"/>
      <c r="CI61" s="161"/>
      <c r="CJ61" s="161"/>
      <c r="CK61" s="161"/>
      <c r="CL61" s="161"/>
      <c r="CM61" s="161"/>
      <c r="CN61" s="161"/>
      <c r="CO61" s="161"/>
      <c r="CP61" s="161"/>
      <c r="CQ61" s="161"/>
      <c r="CR61" s="161"/>
      <c r="CS61" s="161"/>
      <c r="CT61" s="161"/>
      <c r="CU61" s="161"/>
    </row>
    <row r="62" spans="2:99" s="148" customFormat="1">
      <c r="B62" s="5"/>
      <c r="C62" s="5"/>
      <c r="D62" s="6"/>
      <c r="E62" s="5"/>
      <c r="F62" s="5"/>
      <c r="G62" s="6"/>
      <c r="H62" s="5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  <c r="BI62" s="161"/>
      <c r="BJ62" s="161"/>
      <c r="BK62" s="161"/>
      <c r="BL62" s="161"/>
      <c r="BM62" s="161"/>
      <c r="BN62" s="161"/>
      <c r="BO62" s="161"/>
      <c r="BP62" s="161"/>
      <c r="BQ62" s="161"/>
      <c r="BR62" s="161"/>
      <c r="BS62" s="161"/>
      <c r="BT62" s="161"/>
      <c r="BU62" s="161"/>
      <c r="BV62" s="161"/>
      <c r="BW62" s="161"/>
      <c r="BX62" s="161"/>
      <c r="BY62" s="161"/>
      <c r="BZ62" s="161"/>
      <c r="CA62" s="161"/>
      <c r="CB62" s="161"/>
      <c r="CC62" s="161"/>
      <c r="CD62" s="161"/>
      <c r="CE62" s="161"/>
      <c r="CF62" s="161"/>
      <c r="CG62" s="161"/>
      <c r="CH62" s="161"/>
      <c r="CI62" s="161"/>
      <c r="CJ62" s="161"/>
      <c r="CK62" s="161"/>
      <c r="CL62" s="161"/>
      <c r="CM62" s="161"/>
      <c r="CN62" s="161"/>
      <c r="CO62" s="161"/>
      <c r="CP62" s="161"/>
      <c r="CQ62" s="161"/>
      <c r="CR62" s="161"/>
      <c r="CS62" s="161"/>
      <c r="CT62" s="161"/>
      <c r="CU62" s="161"/>
    </row>
    <row r="63" spans="2:99" s="148" customFormat="1">
      <c r="B63" s="5"/>
      <c r="C63" s="5"/>
      <c r="D63" s="6"/>
      <c r="E63" s="5"/>
      <c r="F63" s="5"/>
      <c r="G63" s="6"/>
      <c r="H63" s="5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161"/>
      <c r="AF63" s="161"/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  <c r="BI63" s="161"/>
      <c r="BJ63" s="161"/>
      <c r="BK63" s="161"/>
      <c r="BL63" s="161"/>
      <c r="BM63" s="161"/>
      <c r="BN63" s="161"/>
      <c r="BO63" s="161"/>
      <c r="BP63" s="161"/>
      <c r="BQ63" s="161"/>
      <c r="BR63" s="161"/>
      <c r="BS63" s="161"/>
      <c r="BT63" s="161"/>
      <c r="BU63" s="161"/>
      <c r="BV63" s="161"/>
      <c r="BW63" s="161"/>
      <c r="BX63" s="161"/>
      <c r="BY63" s="161"/>
      <c r="BZ63" s="161"/>
      <c r="CA63" s="161"/>
      <c r="CB63" s="161"/>
      <c r="CC63" s="161"/>
      <c r="CD63" s="161"/>
      <c r="CE63" s="161"/>
      <c r="CF63" s="161"/>
      <c r="CG63" s="161"/>
      <c r="CH63" s="161"/>
      <c r="CI63" s="161"/>
      <c r="CJ63" s="161"/>
      <c r="CK63" s="161"/>
      <c r="CL63" s="161"/>
      <c r="CM63" s="161"/>
      <c r="CN63" s="161"/>
      <c r="CO63" s="161"/>
      <c r="CP63" s="161"/>
      <c r="CQ63" s="161"/>
      <c r="CR63" s="161"/>
      <c r="CS63" s="161"/>
      <c r="CT63" s="161"/>
      <c r="CU63" s="161"/>
    </row>
    <row r="64" spans="2:99" s="148" customFormat="1">
      <c r="B64" s="5"/>
      <c r="C64" s="5"/>
      <c r="D64" s="6"/>
      <c r="E64" s="5"/>
      <c r="F64" s="5"/>
      <c r="G64" s="6"/>
      <c r="H64" s="5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61"/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  <c r="BI64" s="161"/>
      <c r="BJ64" s="161"/>
      <c r="BK64" s="161"/>
      <c r="BL64" s="161"/>
      <c r="BM64" s="161"/>
      <c r="BN64" s="161"/>
      <c r="BO64" s="161"/>
      <c r="BP64" s="161"/>
      <c r="BQ64" s="161"/>
      <c r="BR64" s="161"/>
      <c r="BS64" s="161"/>
      <c r="BT64" s="161"/>
      <c r="BU64" s="161"/>
      <c r="BV64" s="161"/>
      <c r="BW64" s="161"/>
      <c r="BX64" s="161"/>
      <c r="BY64" s="161"/>
      <c r="BZ64" s="161"/>
      <c r="CA64" s="161"/>
      <c r="CB64" s="161"/>
      <c r="CC64" s="161"/>
      <c r="CD64" s="161"/>
      <c r="CE64" s="161"/>
      <c r="CF64" s="161"/>
      <c r="CG64" s="161"/>
      <c r="CH64" s="161"/>
      <c r="CI64" s="161"/>
      <c r="CJ64" s="161"/>
      <c r="CK64" s="161"/>
      <c r="CL64" s="161"/>
      <c r="CM64" s="161"/>
      <c r="CN64" s="161"/>
      <c r="CO64" s="161"/>
      <c r="CP64" s="161"/>
      <c r="CQ64" s="161"/>
      <c r="CR64" s="161"/>
      <c r="CS64" s="161"/>
      <c r="CT64" s="161"/>
      <c r="CU64" s="161"/>
    </row>
    <row r="65" spans="2:99" s="148" customFormat="1" ht="15.6" thickBot="1">
      <c r="B65" s="5"/>
      <c r="C65" s="5"/>
      <c r="D65" s="6"/>
      <c r="E65" s="5"/>
      <c r="F65" s="5"/>
      <c r="G65" s="6"/>
      <c r="H65" s="5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161"/>
      <c r="AF65" s="161"/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  <c r="BI65" s="161"/>
      <c r="BJ65" s="161"/>
      <c r="BK65" s="161"/>
      <c r="BL65" s="161"/>
      <c r="BM65" s="161"/>
      <c r="BN65" s="161"/>
      <c r="BO65" s="161"/>
      <c r="BP65" s="161"/>
      <c r="BQ65" s="161"/>
      <c r="BR65" s="161"/>
      <c r="BS65" s="161"/>
      <c r="BT65" s="161"/>
      <c r="BU65" s="161"/>
      <c r="BV65" s="161"/>
      <c r="BW65" s="161"/>
      <c r="BX65" s="161"/>
      <c r="BY65" s="161"/>
      <c r="BZ65" s="161"/>
      <c r="CA65" s="161"/>
      <c r="CB65" s="161"/>
      <c r="CC65" s="161"/>
      <c r="CD65" s="161"/>
      <c r="CE65" s="161"/>
      <c r="CF65" s="161"/>
      <c r="CG65" s="161"/>
      <c r="CH65" s="161"/>
      <c r="CI65" s="161"/>
      <c r="CJ65" s="161"/>
      <c r="CK65" s="161"/>
      <c r="CL65" s="161"/>
      <c r="CM65" s="161"/>
      <c r="CN65" s="161"/>
      <c r="CO65" s="161"/>
      <c r="CP65" s="161"/>
      <c r="CQ65" s="161"/>
      <c r="CR65" s="161"/>
      <c r="CS65" s="161"/>
      <c r="CT65" s="161"/>
      <c r="CU65" s="161"/>
    </row>
    <row r="66" spans="2:99" s="148" customFormat="1">
      <c r="B66" s="5"/>
      <c r="C66" s="5"/>
      <c r="D66" s="6"/>
      <c r="E66" s="5"/>
      <c r="F66" s="5"/>
      <c r="G66" s="6"/>
      <c r="H66" s="5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61"/>
      <c r="Z66" s="161"/>
      <c r="AA66" s="161"/>
      <c r="AB66" s="161"/>
      <c r="AC66" s="161"/>
      <c r="AD66" s="161"/>
      <c r="AE66" s="161"/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  <c r="BI66" s="161"/>
      <c r="BJ66" s="161"/>
      <c r="BK66" s="161"/>
      <c r="BL66" s="161"/>
      <c r="BM66" s="161"/>
      <c r="BN66" s="161"/>
      <c r="BO66" s="161"/>
      <c r="BP66" s="161"/>
      <c r="BQ66" s="161"/>
      <c r="BR66" s="161"/>
      <c r="BS66" s="161"/>
      <c r="BT66" s="161"/>
      <c r="BU66" s="161"/>
      <c r="BV66" s="161"/>
      <c r="BW66" s="161"/>
      <c r="BX66" s="161"/>
      <c r="BY66" s="161"/>
      <c r="BZ66" s="161"/>
      <c r="CA66" s="161"/>
      <c r="CB66" s="161"/>
      <c r="CC66" s="161"/>
      <c r="CD66" s="161"/>
      <c r="CE66" s="161"/>
      <c r="CF66" s="161"/>
      <c r="CG66" s="161"/>
      <c r="CH66" s="161"/>
      <c r="CI66" s="161"/>
      <c r="CJ66" s="161"/>
      <c r="CK66" s="161"/>
      <c r="CL66" s="161"/>
      <c r="CM66" s="161"/>
      <c r="CN66" s="161"/>
      <c r="CO66" s="161"/>
      <c r="CP66" s="161"/>
      <c r="CQ66" s="161"/>
      <c r="CR66" s="161"/>
      <c r="CS66" s="161"/>
      <c r="CT66" s="161"/>
      <c r="CU66" s="161"/>
    </row>
    <row r="67" spans="2:99" s="148" customFormat="1">
      <c r="B67" s="5"/>
      <c r="C67" s="5"/>
      <c r="D67" s="6"/>
      <c r="E67" s="5"/>
      <c r="F67" s="5"/>
      <c r="G67" s="6"/>
      <c r="H67" s="5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  <c r="AE67" s="161"/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  <c r="BI67" s="161"/>
      <c r="BJ67" s="161"/>
      <c r="BK67" s="161"/>
      <c r="BL67" s="161"/>
      <c r="BM67" s="161"/>
      <c r="BN67" s="161"/>
      <c r="BO67" s="161"/>
      <c r="BP67" s="161"/>
      <c r="BQ67" s="161"/>
      <c r="BR67" s="161"/>
      <c r="BS67" s="161"/>
      <c r="BT67" s="161"/>
      <c r="BU67" s="161"/>
      <c r="BV67" s="161"/>
      <c r="BW67" s="161"/>
      <c r="BX67" s="161"/>
      <c r="BY67" s="161"/>
      <c r="BZ67" s="161"/>
      <c r="CA67" s="161"/>
      <c r="CB67" s="161"/>
      <c r="CC67" s="161"/>
      <c r="CD67" s="161"/>
      <c r="CE67" s="161"/>
      <c r="CF67" s="161"/>
      <c r="CG67" s="161"/>
      <c r="CH67" s="161"/>
      <c r="CI67" s="161"/>
      <c r="CJ67" s="161"/>
      <c r="CK67" s="161"/>
      <c r="CL67" s="161"/>
      <c r="CM67" s="161"/>
      <c r="CN67" s="161"/>
      <c r="CO67" s="161"/>
      <c r="CP67" s="161"/>
      <c r="CQ67" s="161"/>
      <c r="CR67" s="161"/>
      <c r="CS67" s="161"/>
      <c r="CT67" s="161"/>
      <c r="CU67" s="161"/>
    </row>
    <row r="68" spans="2:99" s="148" customFormat="1">
      <c r="B68" s="5"/>
      <c r="C68" s="5"/>
      <c r="D68" s="6"/>
      <c r="E68" s="5"/>
      <c r="F68" s="5"/>
      <c r="G68" s="6"/>
      <c r="H68" s="5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61"/>
      <c r="AE68" s="161"/>
      <c r="AF68" s="161"/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  <c r="BI68" s="161"/>
      <c r="BJ68" s="161"/>
      <c r="BK68" s="161"/>
      <c r="BL68" s="161"/>
      <c r="BM68" s="161"/>
      <c r="BN68" s="161"/>
      <c r="BO68" s="161"/>
      <c r="BP68" s="161"/>
      <c r="BQ68" s="161"/>
      <c r="BR68" s="161"/>
      <c r="BS68" s="161"/>
      <c r="BT68" s="161"/>
      <c r="BU68" s="161"/>
      <c r="BV68" s="161"/>
      <c r="BW68" s="161"/>
      <c r="BX68" s="161"/>
      <c r="BY68" s="161"/>
      <c r="BZ68" s="161"/>
      <c r="CA68" s="161"/>
      <c r="CB68" s="161"/>
      <c r="CC68" s="161"/>
      <c r="CD68" s="161"/>
      <c r="CE68" s="161"/>
      <c r="CF68" s="161"/>
      <c r="CG68" s="161"/>
      <c r="CH68" s="161"/>
      <c r="CI68" s="161"/>
      <c r="CJ68" s="161"/>
      <c r="CK68" s="161"/>
      <c r="CL68" s="161"/>
      <c r="CM68" s="161"/>
      <c r="CN68" s="161"/>
      <c r="CO68" s="161"/>
      <c r="CP68" s="161"/>
      <c r="CQ68" s="161"/>
      <c r="CR68" s="161"/>
      <c r="CS68" s="161"/>
      <c r="CT68" s="161"/>
      <c r="CU68" s="161"/>
    </row>
    <row r="69" spans="2:99" s="148" customFormat="1">
      <c r="B69" s="5"/>
      <c r="C69" s="5"/>
      <c r="D69" s="6"/>
      <c r="E69" s="5"/>
      <c r="F69" s="5"/>
      <c r="G69" s="6"/>
      <c r="H69" s="5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61"/>
      <c r="Z69" s="161"/>
      <c r="AA69" s="161"/>
      <c r="AB69" s="161"/>
      <c r="AC69" s="161"/>
      <c r="AD69" s="161"/>
      <c r="AE69" s="161"/>
      <c r="AF69" s="161"/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161"/>
      <c r="AV69" s="161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  <c r="BI69" s="161"/>
      <c r="BJ69" s="161"/>
      <c r="BK69" s="161"/>
      <c r="BL69" s="161"/>
      <c r="BM69" s="161"/>
      <c r="BN69" s="161"/>
      <c r="BO69" s="161"/>
      <c r="BP69" s="161"/>
      <c r="BQ69" s="161"/>
      <c r="BR69" s="161"/>
      <c r="BS69" s="161"/>
      <c r="BT69" s="161"/>
      <c r="BU69" s="161"/>
      <c r="BV69" s="161"/>
      <c r="BW69" s="161"/>
      <c r="BX69" s="161"/>
      <c r="BY69" s="161"/>
      <c r="BZ69" s="161"/>
      <c r="CA69" s="161"/>
      <c r="CB69" s="161"/>
      <c r="CC69" s="161"/>
      <c r="CD69" s="161"/>
      <c r="CE69" s="161"/>
      <c r="CF69" s="161"/>
      <c r="CG69" s="161"/>
      <c r="CH69" s="161"/>
      <c r="CI69" s="161"/>
      <c r="CJ69" s="161"/>
      <c r="CK69" s="161"/>
      <c r="CL69" s="161"/>
      <c r="CM69" s="161"/>
      <c r="CN69" s="161"/>
      <c r="CO69" s="161"/>
      <c r="CP69" s="161"/>
      <c r="CQ69" s="161"/>
      <c r="CR69" s="161"/>
      <c r="CS69" s="161"/>
      <c r="CT69" s="161"/>
      <c r="CU69" s="161"/>
    </row>
    <row r="70" spans="2:99" s="148" customFormat="1">
      <c r="B70" s="5"/>
      <c r="C70" s="5"/>
      <c r="D70" s="6"/>
      <c r="E70" s="5"/>
      <c r="F70" s="5"/>
      <c r="G70" s="6"/>
      <c r="H70" s="5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61"/>
      <c r="Z70" s="161"/>
      <c r="AA70" s="161"/>
      <c r="AB70" s="161"/>
      <c r="AC70" s="161"/>
      <c r="AD70" s="161"/>
      <c r="AE70" s="161"/>
      <c r="AF70" s="161"/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  <c r="BI70" s="161"/>
      <c r="BJ70" s="161"/>
      <c r="BK70" s="161"/>
      <c r="BL70" s="161"/>
      <c r="BM70" s="161"/>
      <c r="BN70" s="161"/>
      <c r="BO70" s="161"/>
      <c r="BP70" s="161"/>
      <c r="BQ70" s="161"/>
      <c r="BR70" s="161"/>
      <c r="BS70" s="161"/>
      <c r="BT70" s="161"/>
      <c r="BU70" s="161"/>
      <c r="BV70" s="161"/>
      <c r="BW70" s="161"/>
      <c r="BX70" s="161"/>
      <c r="BY70" s="161"/>
      <c r="BZ70" s="161"/>
      <c r="CA70" s="161"/>
      <c r="CB70" s="161"/>
      <c r="CC70" s="161"/>
      <c r="CD70" s="161"/>
      <c r="CE70" s="161"/>
      <c r="CF70" s="161"/>
      <c r="CG70" s="161"/>
      <c r="CH70" s="161"/>
      <c r="CI70" s="161"/>
      <c r="CJ70" s="161"/>
      <c r="CK70" s="161"/>
      <c r="CL70" s="161"/>
      <c r="CM70" s="161"/>
      <c r="CN70" s="161"/>
      <c r="CO70" s="161"/>
      <c r="CP70" s="161"/>
      <c r="CQ70" s="161"/>
      <c r="CR70" s="161"/>
      <c r="CS70" s="161"/>
      <c r="CT70" s="161"/>
      <c r="CU70" s="161"/>
    </row>
    <row r="71" spans="2:99" s="148" customFormat="1">
      <c r="B71" s="5"/>
      <c r="C71" s="5"/>
      <c r="D71" s="6"/>
      <c r="E71" s="5"/>
      <c r="F71" s="5"/>
      <c r="G71" s="6"/>
      <c r="H71" s="5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  <c r="BI71" s="161"/>
      <c r="BJ71" s="161"/>
      <c r="BK71" s="161"/>
      <c r="BL71" s="161"/>
      <c r="BM71" s="161"/>
      <c r="BN71" s="161"/>
      <c r="BO71" s="161"/>
      <c r="BP71" s="161"/>
      <c r="BQ71" s="161"/>
      <c r="BR71" s="161"/>
      <c r="BS71" s="161"/>
      <c r="BT71" s="161"/>
      <c r="BU71" s="161"/>
      <c r="BV71" s="161"/>
      <c r="BW71" s="161"/>
      <c r="BX71" s="161"/>
      <c r="BY71" s="161"/>
      <c r="BZ71" s="161"/>
      <c r="CA71" s="161"/>
      <c r="CB71" s="161"/>
      <c r="CC71" s="161"/>
      <c r="CD71" s="161"/>
      <c r="CE71" s="161"/>
      <c r="CF71" s="161"/>
      <c r="CG71" s="161"/>
      <c r="CH71" s="161"/>
      <c r="CI71" s="161"/>
      <c r="CJ71" s="161"/>
      <c r="CK71" s="161"/>
      <c r="CL71" s="161"/>
      <c r="CM71" s="161"/>
      <c r="CN71" s="161"/>
      <c r="CO71" s="161"/>
      <c r="CP71" s="161"/>
      <c r="CQ71" s="161"/>
      <c r="CR71" s="161"/>
      <c r="CS71" s="161"/>
      <c r="CT71" s="161"/>
      <c r="CU71" s="161"/>
    </row>
    <row r="72" spans="2:99" s="148" customFormat="1">
      <c r="B72" s="5"/>
      <c r="C72" s="5"/>
      <c r="D72" s="6"/>
      <c r="E72" s="5"/>
      <c r="F72" s="5"/>
      <c r="G72" s="6"/>
      <c r="H72" s="5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  <c r="AD72" s="161"/>
      <c r="AE72" s="161"/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  <c r="BI72" s="161"/>
      <c r="BJ72" s="161"/>
      <c r="BK72" s="161"/>
      <c r="BL72" s="161"/>
      <c r="BM72" s="161"/>
      <c r="BN72" s="161"/>
      <c r="BO72" s="161"/>
      <c r="BP72" s="161"/>
      <c r="BQ72" s="161"/>
      <c r="BR72" s="161"/>
      <c r="BS72" s="161"/>
      <c r="BT72" s="161"/>
      <c r="BU72" s="161"/>
      <c r="BV72" s="161"/>
      <c r="BW72" s="161"/>
      <c r="BX72" s="161"/>
      <c r="BY72" s="161"/>
      <c r="BZ72" s="161"/>
      <c r="CA72" s="161"/>
      <c r="CB72" s="161"/>
      <c r="CC72" s="161"/>
      <c r="CD72" s="161"/>
      <c r="CE72" s="161"/>
      <c r="CF72" s="161"/>
      <c r="CG72" s="161"/>
      <c r="CH72" s="161"/>
      <c r="CI72" s="161"/>
      <c r="CJ72" s="161"/>
      <c r="CK72" s="161"/>
      <c r="CL72" s="161"/>
      <c r="CM72" s="161"/>
      <c r="CN72" s="161"/>
      <c r="CO72" s="161"/>
      <c r="CP72" s="161"/>
      <c r="CQ72" s="161"/>
      <c r="CR72" s="161"/>
      <c r="CS72" s="161"/>
      <c r="CT72" s="161"/>
      <c r="CU72" s="161"/>
    </row>
    <row r="73" spans="2:99" s="148" customFormat="1">
      <c r="B73" s="5"/>
      <c r="C73" s="5"/>
      <c r="D73" s="6"/>
      <c r="E73" s="5"/>
      <c r="F73" s="5"/>
      <c r="G73" s="6"/>
      <c r="H73" s="5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61"/>
      <c r="Z73" s="161"/>
      <c r="AA73" s="161"/>
      <c r="AB73" s="161"/>
      <c r="AC73" s="161"/>
      <c r="AD73" s="161"/>
      <c r="AE73" s="161"/>
      <c r="AF73" s="161"/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  <c r="BI73" s="161"/>
      <c r="BJ73" s="161"/>
      <c r="BK73" s="161"/>
      <c r="BL73" s="161"/>
      <c r="BM73" s="161"/>
      <c r="BN73" s="161"/>
      <c r="BO73" s="161"/>
      <c r="BP73" s="161"/>
      <c r="BQ73" s="161"/>
      <c r="BR73" s="161"/>
      <c r="BS73" s="161"/>
      <c r="BT73" s="161"/>
      <c r="BU73" s="161"/>
      <c r="BV73" s="161"/>
      <c r="BW73" s="161"/>
      <c r="BX73" s="161"/>
      <c r="BY73" s="161"/>
      <c r="BZ73" s="161"/>
      <c r="CA73" s="161"/>
      <c r="CB73" s="161"/>
      <c r="CC73" s="161"/>
      <c r="CD73" s="161"/>
      <c r="CE73" s="161"/>
      <c r="CF73" s="161"/>
      <c r="CG73" s="161"/>
      <c r="CH73" s="161"/>
      <c r="CI73" s="161"/>
      <c r="CJ73" s="161"/>
      <c r="CK73" s="161"/>
      <c r="CL73" s="161"/>
      <c r="CM73" s="161"/>
      <c r="CN73" s="161"/>
      <c r="CO73" s="161"/>
      <c r="CP73" s="161"/>
      <c r="CQ73" s="161"/>
      <c r="CR73" s="161"/>
      <c r="CS73" s="161"/>
      <c r="CT73" s="161"/>
      <c r="CU73" s="161"/>
    </row>
    <row r="74" spans="2:99" s="148" customFormat="1">
      <c r="B74" s="5"/>
      <c r="C74" s="5"/>
      <c r="D74" s="6"/>
      <c r="E74" s="5"/>
      <c r="F74" s="5"/>
      <c r="G74" s="6"/>
      <c r="H74" s="5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  <c r="AF74" s="161"/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  <c r="BI74" s="161"/>
      <c r="BJ74" s="161"/>
      <c r="BK74" s="161"/>
      <c r="BL74" s="161"/>
      <c r="BM74" s="161"/>
      <c r="BN74" s="161"/>
      <c r="BO74" s="161"/>
      <c r="BP74" s="161"/>
      <c r="BQ74" s="161"/>
      <c r="BR74" s="161"/>
      <c r="BS74" s="161"/>
      <c r="BT74" s="161"/>
      <c r="BU74" s="161"/>
      <c r="BV74" s="161"/>
      <c r="BW74" s="161"/>
      <c r="BX74" s="161"/>
      <c r="BY74" s="161"/>
      <c r="BZ74" s="161"/>
      <c r="CA74" s="161"/>
      <c r="CB74" s="161"/>
      <c r="CC74" s="161"/>
      <c r="CD74" s="161"/>
      <c r="CE74" s="161"/>
      <c r="CF74" s="161"/>
      <c r="CG74" s="161"/>
      <c r="CH74" s="161"/>
      <c r="CI74" s="161"/>
      <c r="CJ74" s="161"/>
      <c r="CK74" s="161"/>
      <c r="CL74" s="161"/>
      <c r="CM74" s="161"/>
      <c r="CN74" s="161"/>
      <c r="CO74" s="161"/>
      <c r="CP74" s="161"/>
      <c r="CQ74" s="161"/>
      <c r="CR74" s="161"/>
      <c r="CS74" s="161"/>
      <c r="CT74" s="161"/>
      <c r="CU74" s="161"/>
    </row>
    <row r="75" spans="2:99" s="148" customFormat="1">
      <c r="B75" s="5"/>
      <c r="C75" s="5"/>
      <c r="D75" s="6"/>
      <c r="E75" s="5"/>
      <c r="F75" s="5"/>
      <c r="G75" s="6"/>
      <c r="H75" s="5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61"/>
      <c r="Z75" s="161"/>
      <c r="AA75" s="161"/>
      <c r="AB75" s="161"/>
      <c r="AC75" s="161"/>
      <c r="AD75" s="161"/>
      <c r="AE75" s="161"/>
      <c r="AF75" s="161"/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  <c r="BI75" s="161"/>
      <c r="BJ75" s="161"/>
      <c r="BK75" s="161"/>
      <c r="BL75" s="161"/>
      <c r="BM75" s="161"/>
      <c r="BN75" s="161"/>
      <c r="BO75" s="161"/>
      <c r="BP75" s="161"/>
      <c r="BQ75" s="161"/>
      <c r="BR75" s="161"/>
      <c r="BS75" s="161"/>
      <c r="BT75" s="161"/>
      <c r="BU75" s="161"/>
      <c r="BV75" s="161"/>
      <c r="BW75" s="161"/>
      <c r="BX75" s="161"/>
      <c r="BY75" s="161"/>
      <c r="BZ75" s="161"/>
      <c r="CA75" s="161"/>
      <c r="CB75" s="161"/>
      <c r="CC75" s="161"/>
      <c r="CD75" s="161"/>
      <c r="CE75" s="161"/>
      <c r="CF75" s="161"/>
      <c r="CG75" s="161"/>
      <c r="CH75" s="161"/>
      <c r="CI75" s="161"/>
      <c r="CJ75" s="161"/>
      <c r="CK75" s="161"/>
      <c r="CL75" s="161"/>
      <c r="CM75" s="161"/>
      <c r="CN75" s="161"/>
      <c r="CO75" s="161"/>
      <c r="CP75" s="161"/>
      <c r="CQ75" s="161"/>
      <c r="CR75" s="161"/>
      <c r="CS75" s="161"/>
      <c r="CT75" s="161"/>
      <c r="CU75" s="161"/>
    </row>
    <row r="76" spans="2:99" s="148" customFormat="1">
      <c r="B76" s="5"/>
      <c r="C76" s="5"/>
      <c r="D76" s="6"/>
      <c r="E76" s="5"/>
      <c r="F76" s="5"/>
      <c r="G76" s="6"/>
      <c r="H76" s="5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61"/>
      <c r="Z76" s="161"/>
      <c r="AA76" s="161"/>
      <c r="AB76" s="161"/>
      <c r="AC76" s="161"/>
      <c r="AD76" s="161"/>
      <c r="AE76" s="161"/>
      <c r="AF76" s="161"/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  <c r="BI76" s="161"/>
      <c r="BJ76" s="161"/>
      <c r="BK76" s="161"/>
      <c r="BL76" s="161"/>
      <c r="BM76" s="161"/>
      <c r="BN76" s="161"/>
      <c r="BO76" s="161"/>
      <c r="BP76" s="161"/>
      <c r="BQ76" s="161"/>
      <c r="BR76" s="161"/>
      <c r="BS76" s="161"/>
      <c r="BT76" s="161"/>
      <c r="BU76" s="161"/>
      <c r="BV76" s="161"/>
      <c r="BW76" s="161"/>
      <c r="BX76" s="161"/>
      <c r="BY76" s="161"/>
      <c r="BZ76" s="161"/>
      <c r="CA76" s="161"/>
      <c r="CB76" s="161"/>
      <c r="CC76" s="161"/>
      <c r="CD76" s="161"/>
      <c r="CE76" s="161"/>
      <c r="CF76" s="161"/>
      <c r="CG76" s="161"/>
      <c r="CH76" s="161"/>
      <c r="CI76" s="161"/>
      <c r="CJ76" s="161"/>
      <c r="CK76" s="161"/>
      <c r="CL76" s="161"/>
      <c r="CM76" s="161"/>
      <c r="CN76" s="161"/>
      <c r="CO76" s="161"/>
      <c r="CP76" s="161"/>
      <c r="CQ76" s="161"/>
      <c r="CR76" s="161"/>
      <c r="CS76" s="161"/>
      <c r="CT76" s="161"/>
      <c r="CU76" s="161"/>
    </row>
    <row r="77" spans="2:99" s="148" customFormat="1">
      <c r="B77" s="5"/>
      <c r="C77" s="5"/>
      <c r="D77" s="6"/>
      <c r="E77" s="5"/>
      <c r="F77" s="5"/>
      <c r="G77" s="6"/>
      <c r="H77" s="5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61"/>
      <c r="Z77" s="161"/>
      <c r="AA77" s="161"/>
      <c r="AB77" s="161"/>
      <c r="AC77" s="161"/>
      <c r="AD77" s="161"/>
      <c r="AE77" s="161"/>
      <c r="AF77" s="161"/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  <c r="BI77" s="161"/>
      <c r="BJ77" s="161"/>
      <c r="BK77" s="161"/>
      <c r="BL77" s="161"/>
      <c r="BM77" s="161"/>
      <c r="BN77" s="161"/>
      <c r="BO77" s="161"/>
      <c r="BP77" s="161"/>
      <c r="BQ77" s="161"/>
      <c r="BR77" s="161"/>
      <c r="BS77" s="161"/>
      <c r="BT77" s="161"/>
      <c r="BU77" s="161"/>
      <c r="BV77" s="161"/>
      <c r="BW77" s="161"/>
      <c r="BX77" s="161"/>
      <c r="BY77" s="161"/>
      <c r="BZ77" s="161"/>
      <c r="CA77" s="161"/>
      <c r="CB77" s="161"/>
      <c r="CC77" s="161"/>
      <c r="CD77" s="161"/>
      <c r="CE77" s="161"/>
      <c r="CF77" s="161"/>
      <c r="CG77" s="161"/>
      <c r="CH77" s="161"/>
      <c r="CI77" s="161"/>
      <c r="CJ77" s="161"/>
      <c r="CK77" s="161"/>
      <c r="CL77" s="161"/>
      <c r="CM77" s="161"/>
      <c r="CN77" s="161"/>
      <c r="CO77" s="161"/>
      <c r="CP77" s="161"/>
      <c r="CQ77" s="161"/>
      <c r="CR77" s="161"/>
      <c r="CS77" s="161"/>
      <c r="CT77" s="161"/>
      <c r="CU77" s="161"/>
    </row>
    <row r="78" spans="2:99" s="148" customFormat="1">
      <c r="B78" s="5"/>
      <c r="C78" s="5"/>
      <c r="D78" s="6"/>
      <c r="E78" s="5"/>
      <c r="F78" s="5"/>
      <c r="G78" s="6"/>
      <c r="H78" s="5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  <c r="AF78" s="161"/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  <c r="BI78" s="161"/>
      <c r="BJ78" s="161"/>
      <c r="BK78" s="161"/>
      <c r="BL78" s="161"/>
      <c r="BM78" s="161"/>
      <c r="BN78" s="161"/>
      <c r="BO78" s="161"/>
      <c r="BP78" s="161"/>
      <c r="BQ78" s="161"/>
      <c r="BR78" s="161"/>
      <c r="BS78" s="161"/>
      <c r="BT78" s="161"/>
      <c r="BU78" s="161"/>
      <c r="BV78" s="161"/>
      <c r="BW78" s="161"/>
      <c r="BX78" s="161"/>
      <c r="BY78" s="161"/>
      <c r="BZ78" s="161"/>
      <c r="CA78" s="161"/>
      <c r="CB78" s="161"/>
      <c r="CC78" s="161"/>
      <c r="CD78" s="161"/>
      <c r="CE78" s="161"/>
      <c r="CF78" s="161"/>
      <c r="CG78" s="161"/>
      <c r="CH78" s="161"/>
      <c r="CI78" s="161"/>
      <c r="CJ78" s="161"/>
      <c r="CK78" s="161"/>
      <c r="CL78" s="161"/>
      <c r="CM78" s="161"/>
      <c r="CN78" s="161"/>
      <c r="CO78" s="161"/>
      <c r="CP78" s="161"/>
      <c r="CQ78" s="161"/>
      <c r="CR78" s="161"/>
      <c r="CS78" s="161"/>
      <c r="CT78" s="161"/>
      <c r="CU78" s="161"/>
    </row>
    <row r="79" spans="2:99" s="148" customFormat="1">
      <c r="B79" s="5"/>
      <c r="C79" s="5"/>
      <c r="D79" s="6"/>
      <c r="E79" s="5"/>
      <c r="F79" s="5"/>
      <c r="G79" s="6"/>
      <c r="H79" s="5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  <c r="AF79" s="161"/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  <c r="BI79" s="161"/>
      <c r="BJ79" s="161"/>
      <c r="BK79" s="161"/>
      <c r="BL79" s="161"/>
      <c r="BM79" s="161"/>
      <c r="BN79" s="161"/>
      <c r="BO79" s="161"/>
      <c r="BP79" s="161"/>
      <c r="BQ79" s="161"/>
      <c r="BR79" s="161"/>
      <c r="BS79" s="161"/>
      <c r="BT79" s="161"/>
      <c r="BU79" s="161"/>
      <c r="BV79" s="161"/>
      <c r="BW79" s="161"/>
      <c r="BX79" s="161"/>
      <c r="BY79" s="161"/>
      <c r="BZ79" s="161"/>
      <c r="CA79" s="161"/>
      <c r="CB79" s="161"/>
      <c r="CC79" s="161"/>
      <c r="CD79" s="161"/>
      <c r="CE79" s="161"/>
      <c r="CF79" s="161"/>
      <c r="CG79" s="161"/>
      <c r="CH79" s="161"/>
      <c r="CI79" s="161"/>
      <c r="CJ79" s="161"/>
      <c r="CK79" s="161"/>
      <c r="CL79" s="161"/>
      <c r="CM79" s="161"/>
      <c r="CN79" s="161"/>
      <c r="CO79" s="161"/>
      <c r="CP79" s="161"/>
      <c r="CQ79" s="161"/>
      <c r="CR79" s="161"/>
      <c r="CS79" s="161"/>
      <c r="CT79" s="161"/>
      <c r="CU79" s="161"/>
    </row>
    <row r="80" spans="2:99" s="148" customFormat="1">
      <c r="B80" s="5"/>
      <c r="C80" s="5"/>
      <c r="D80" s="6"/>
      <c r="E80" s="5"/>
      <c r="F80" s="5"/>
      <c r="G80" s="6"/>
      <c r="H80" s="5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  <c r="AF80" s="161"/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  <c r="BI80" s="161"/>
      <c r="BJ80" s="161"/>
      <c r="BK80" s="161"/>
      <c r="BL80" s="161"/>
      <c r="BM80" s="161"/>
      <c r="BN80" s="161"/>
      <c r="BO80" s="161"/>
      <c r="BP80" s="161"/>
      <c r="BQ80" s="161"/>
      <c r="BR80" s="161"/>
      <c r="BS80" s="161"/>
      <c r="BT80" s="161"/>
      <c r="BU80" s="161"/>
      <c r="BV80" s="161"/>
      <c r="BW80" s="161"/>
      <c r="BX80" s="161"/>
      <c r="BY80" s="161"/>
      <c r="BZ80" s="161"/>
      <c r="CA80" s="161"/>
      <c r="CB80" s="161"/>
      <c r="CC80" s="161"/>
      <c r="CD80" s="161"/>
      <c r="CE80" s="161"/>
      <c r="CF80" s="161"/>
      <c r="CG80" s="161"/>
      <c r="CH80" s="161"/>
      <c r="CI80" s="161"/>
      <c r="CJ80" s="161"/>
      <c r="CK80" s="161"/>
      <c r="CL80" s="161"/>
      <c r="CM80" s="161"/>
      <c r="CN80" s="161"/>
      <c r="CO80" s="161"/>
      <c r="CP80" s="161"/>
      <c r="CQ80" s="161"/>
      <c r="CR80" s="161"/>
      <c r="CS80" s="161"/>
      <c r="CT80" s="161"/>
      <c r="CU80" s="161"/>
    </row>
    <row r="81" spans="2:99" s="148" customFormat="1">
      <c r="B81" s="5"/>
      <c r="C81" s="5"/>
      <c r="D81" s="6"/>
      <c r="E81" s="5"/>
      <c r="F81" s="5"/>
      <c r="G81" s="6"/>
      <c r="H81" s="5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  <c r="AE81" s="161"/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  <c r="BI81" s="161"/>
      <c r="BJ81" s="161"/>
      <c r="BK81" s="161"/>
      <c r="BL81" s="161"/>
      <c r="BM81" s="161"/>
      <c r="BN81" s="161"/>
      <c r="BO81" s="161"/>
      <c r="BP81" s="161"/>
      <c r="BQ81" s="161"/>
      <c r="BR81" s="161"/>
      <c r="BS81" s="161"/>
      <c r="BT81" s="161"/>
      <c r="BU81" s="161"/>
      <c r="BV81" s="161"/>
      <c r="BW81" s="161"/>
      <c r="BX81" s="161"/>
      <c r="BY81" s="161"/>
      <c r="BZ81" s="161"/>
      <c r="CA81" s="161"/>
      <c r="CB81" s="161"/>
      <c r="CC81" s="161"/>
      <c r="CD81" s="161"/>
      <c r="CE81" s="161"/>
      <c r="CF81" s="161"/>
      <c r="CG81" s="161"/>
      <c r="CH81" s="161"/>
      <c r="CI81" s="161"/>
      <c r="CJ81" s="161"/>
      <c r="CK81" s="161"/>
      <c r="CL81" s="161"/>
      <c r="CM81" s="161"/>
      <c r="CN81" s="161"/>
      <c r="CO81" s="161"/>
      <c r="CP81" s="161"/>
      <c r="CQ81" s="161"/>
      <c r="CR81" s="161"/>
      <c r="CS81" s="161"/>
      <c r="CT81" s="161"/>
      <c r="CU81" s="161"/>
    </row>
    <row r="82" spans="2:99" s="148" customFormat="1">
      <c r="B82" s="5"/>
      <c r="C82" s="5"/>
      <c r="D82" s="6"/>
      <c r="E82" s="5"/>
      <c r="F82" s="5"/>
      <c r="G82" s="6"/>
      <c r="H82" s="5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61"/>
      <c r="Z82" s="161"/>
      <c r="AA82" s="161"/>
      <c r="AB82" s="161"/>
      <c r="AC82" s="161"/>
      <c r="AD82" s="161"/>
      <c r="AE82" s="161"/>
      <c r="AF82" s="161"/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  <c r="BI82" s="161"/>
      <c r="BJ82" s="161"/>
      <c r="BK82" s="161"/>
      <c r="BL82" s="161"/>
      <c r="BM82" s="161"/>
      <c r="BN82" s="161"/>
      <c r="BO82" s="161"/>
      <c r="BP82" s="161"/>
      <c r="BQ82" s="161"/>
      <c r="BR82" s="161"/>
      <c r="BS82" s="161"/>
      <c r="BT82" s="161"/>
      <c r="BU82" s="161"/>
      <c r="BV82" s="161"/>
      <c r="BW82" s="161"/>
      <c r="BX82" s="161"/>
      <c r="BY82" s="161"/>
      <c r="BZ82" s="161"/>
      <c r="CA82" s="161"/>
      <c r="CB82" s="161"/>
      <c r="CC82" s="161"/>
      <c r="CD82" s="161"/>
      <c r="CE82" s="161"/>
      <c r="CF82" s="161"/>
      <c r="CG82" s="161"/>
      <c r="CH82" s="161"/>
      <c r="CI82" s="161"/>
      <c r="CJ82" s="161"/>
      <c r="CK82" s="161"/>
      <c r="CL82" s="161"/>
      <c r="CM82" s="161"/>
      <c r="CN82" s="161"/>
      <c r="CO82" s="161"/>
      <c r="CP82" s="161"/>
      <c r="CQ82" s="161"/>
      <c r="CR82" s="161"/>
      <c r="CS82" s="161"/>
      <c r="CT82" s="161"/>
      <c r="CU82" s="161"/>
    </row>
    <row r="83" spans="2:99" s="148" customFormat="1">
      <c r="B83" s="5"/>
      <c r="C83" s="5"/>
      <c r="D83" s="6"/>
      <c r="E83" s="5"/>
      <c r="F83" s="5"/>
      <c r="G83" s="6"/>
      <c r="H83" s="5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  <c r="AE83" s="161"/>
      <c r="AF83" s="161"/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  <c r="BI83" s="161"/>
      <c r="BJ83" s="161"/>
      <c r="BK83" s="161"/>
      <c r="BL83" s="161"/>
      <c r="BM83" s="161"/>
      <c r="BN83" s="161"/>
      <c r="BO83" s="161"/>
      <c r="BP83" s="161"/>
      <c r="BQ83" s="161"/>
      <c r="BR83" s="161"/>
      <c r="BS83" s="161"/>
      <c r="BT83" s="161"/>
      <c r="BU83" s="161"/>
      <c r="BV83" s="161"/>
      <c r="BW83" s="161"/>
      <c r="BX83" s="161"/>
      <c r="BY83" s="161"/>
      <c r="BZ83" s="161"/>
      <c r="CA83" s="161"/>
      <c r="CB83" s="161"/>
      <c r="CC83" s="161"/>
      <c r="CD83" s="161"/>
      <c r="CE83" s="161"/>
      <c r="CF83" s="161"/>
      <c r="CG83" s="161"/>
      <c r="CH83" s="161"/>
      <c r="CI83" s="161"/>
      <c r="CJ83" s="161"/>
      <c r="CK83" s="161"/>
      <c r="CL83" s="161"/>
      <c r="CM83" s="161"/>
      <c r="CN83" s="161"/>
      <c r="CO83" s="161"/>
      <c r="CP83" s="161"/>
      <c r="CQ83" s="161"/>
      <c r="CR83" s="161"/>
      <c r="CS83" s="161"/>
      <c r="CT83" s="161"/>
      <c r="CU83" s="161"/>
    </row>
    <row r="84" spans="2:99" s="148" customFormat="1">
      <c r="B84" s="5"/>
      <c r="C84" s="5"/>
      <c r="D84" s="6"/>
      <c r="E84" s="5"/>
      <c r="F84" s="5"/>
      <c r="G84" s="6"/>
      <c r="H84" s="5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  <c r="BI84" s="161"/>
      <c r="BJ84" s="161"/>
      <c r="BK84" s="161"/>
      <c r="BL84" s="161"/>
      <c r="BM84" s="161"/>
      <c r="BN84" s="161"/>
      <c r="BO84" s="161"/>
      <c r="BP84" s="161"/>
      <c r="BQ84" s="161"/>
      <c r="BR84" s="161"/>
      <c r="BS84" s="161"/>
      <c r="BT84" s="161"/>
      <c r="BU84" s="161"/>
      <c r="BV84" s="161"/>
      <c r="BW84" s="161"/>
      <c r="BX84" s="161"/>
      <c r="BY84" s="161"/>
      <c r="BZ84" s="161"/>
      <c r="CA84" s="161"/>
      <c r="CB84" s="161"/>
      <c r="CC84" s="161"/>
      <c r="CD84" s="161"/>
      <c r="CE84" s="161"/>
      <c r="CF84" s="161"/>
      <c r="CG84" s="161"/>
      <c r="CH84" s="161"/>
      <c r="CI84" s="161"/>
      <c r="CJ84" s="161"/>
      <c r="CK84" s="161"/>
      <c r="CL84" s="161"/>
      <c r="CM84" s="161"/>
      <c r="CN84" s="161"/>
      <c r="CO84" s="161"/>
      <c r="CP84" s="161"/>
      <c r="CQ84" s="161"/>
      <c r="CR84" s="161"/>
      <c r="CS84" s="161"/>
      <c r="CT84" s="161"/>
      <c r="CU84" s="161"/>
    </row>
    <row r="85" spans="2:99" s="148" customFormat="1">
      <c r="B85" s="5"/>
      <c r="C85" s="5"/>
      <c r="D85" s="6"/>
      <c r="E85" s="5"/>
      <c r="F85" s="5"/>
      <c r="G85" s="6"/>
      <c r="H85" s="5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  <c r="AF85" s="161"/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  <c r="BI85" s="161"/>
      <c r="BJ85" s="161"/>
      <c r="BK85" s="161"/>
      <c r="BL85" s="161"/>
      <c r="BM85" s="161"/>
      <c r="BN85" s="161"/>
      <c r="BO85" s="161"/>
      <c r="BP85" s="161"/>
      <c r="BQ85" s="161"/>
      <c r="BR85" s="161"/>
      <c r="BS85" s="161"/>
      <c r="BT85" s="161"/>
      <c r="BU85" s="161"/>
      <c r="BV85" s="161"/>
      <c r="BW85" s="161"/>
      <c r="BX85" s="161"/>
      <c r="BY85" s="161"/>
      <c r="BZ85" s="161"/>
      <c r="CA85" s="161"/>
      <c r="CB85" s="161"/>
      <c r="CC85" s="161"/>
      <c r="CD85" s="161"/>
      <c r="CE85" s="161"/>
      <c r="CF85" s="161"/>
      <c r="CG85" s="161"/>
      <c r="CH85" s="161"/>
      <c r="CI85" s="161"/>
      <c r="CJ85" s="161"/>
      <c r="CK85" s="161"/>
      <c r="CL85" s="161"/>
      <c r="CM85" s="161"/>
      <c r="CN85" s="161"/>
      <c r="CO85" s="161"/>
      <c r="CP85" s="161"/>
      <c r="CQ85" s="161"/>
      <c r="CR85" s="161"/>
      <c r="CS85" s="161"/>
      <c r="CT85" s="161"/>
      <c r="CU85" s="161"/>
    </row>
    <row r="86" spans="2:99" s="148" customFormat="1">
      <c r="B86" s="5"/>
      <c r="C86" s="5"/>
      <c r="D86" s="6"/>
      <c r="E86" s="5"/>
      <c r="F86" s="5"/>
      <c r="G86" s="6"/>
      <c r="H86" s="5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61"/>
      <c r="Z86" s="161"/>
      <c r="AA86" s="161"/>
      <c r="AB86" s="161"/>
      <c r="AC86" s="161"/>
      <c r="AD86" s="161"/>
      <c r="AE86" s="161"/>
      <c r="AF86" s="161"/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161"/>
      <c r="AV86" s="161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  <c r="BI86" s="161"/>
      <c r="BJ86" s="161"/>
      <c r="BK86" s="161"/>
      <c r="BL86" s="161"/>
      <c r="BM86" s="161"/>
      <c r="BN86" s="161"/>
      <c r="BO86" s="161"/>
      <c r="BP86" s="161"/>
      <c r="BQ86" s="161"/>
      <c r="BR86" s="161"/>
      <c r="BS86" s="161"/>
      <c r="BT86" s="161"/>
      <c r="BU86" s="161"/>
      <c r="BV86" s="161"/>
      <c r="BW86" s="161"/>
      <c r="BX86" s="161"/>
      <c r="BY86" s="161"/>
      <c r="BZ86" s="161"/>
      <c r="CA86" s="161"/>
      <c r="CB86" s="161"/>
      <c r="CC86" s="161"/>
      <c r="CD86" s="161"/>
      <c r="CE86" s="161"/>
      <c r="CF86" s="161"/>
      <c r="CG86" s="161"/>
      <c r="CH86" s="161"/>
      <c r="CI86" s="161"/>
      <c r="CJ86" s="161"/>
      <c r="CK86" s="161"/>
      <c r="CL86" s="161"/>
      <c r="CM86" s="161"/>
      <c r="CN86" s="161"/>
      <c r="CO86" s="161"/>
      <c r="CP86" s="161"/>
      <c r="CQ86" s="161"/>
      <c r="CR86" s="161"/>
      <c r="CS86" s="161"/>
      <c r="CT86" s="161"/>
      <c r="CU86" s="161"/>
    </row>
    <row r="87" spans="2:99" s="148" customFormat="1">
      <c r="B87" s="5"/>
      <c r="C87" s="5"/>
      <c r="D87" s="6"/>
      <c r="E87" s="5"/>
      <c r="F87" s="5"/>
      <c r="G87" s="6"/>
      <c r="H87" s="5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61"/>
      <c r="Z87" s="161"/>
      <c r="AA87" s="161"/>
      <c r="AB87" s="161"/>
      <c r="AC87" s="161"/>
      <c r="AD87" s="161"/>
      <c r="AE87" s="161"/>
      <c r="AF87" s="161"/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  <c r="BI87" s="161"/>
      <c r="BJ87" s="161"/>
      <c r="BK87" s="161"/>
      <c r="BL87" s="161"/>
      <c r="BM87" s="161"/>
      <c r="BN87" s="161"/>
      <c r="BO87" s="161"/>
      <c r="BP87" s="161"/>
      <c r="BQ87" s="161"/>
      <c r="BR87" s="161"/>
      <c r="BS87" s="161"/>
      <c r="BT87" s="161"/>
      <c r="BU87" s="161"/>
      <c r="BV87" s="161"/>
      <c r="BW87" s="161"/>
      <c r="BX87" s="161"/>
      <c r="BY87" s="161"/>
      <c r="BZ87" s="161"/>
      <c r="CA87" s="161"/>
      <c r="CB87" s="161"/>
      <c r="CC87" s="161"/>
      <c r="CD87" s="161"/>
      <c r="CE87" s="161"/>
      <c r="CF87" s="161"/>
      <c r="CG87" s="161"/>
      <c r="CH87" s="161"/>
      <c r="CI87" s="161"/>
      <c r="CJ87" s="161"/>
      <c r="CK87" s="161"/>
      <c r="CL87" s="161"/>
      <c r="CM87" s="161"/>
      <c r="CN87" s="161"/>
      <c r="CO87" s="161"/>
      <c r="CP87" s="161"/>
      <c r="CQ87" s="161"/>
      <c r="CR87" s="161"/>
      <c r="CS87" s="161"/>
      <c r="CT87" s="161"/>
      <c r="CU87" s="161"/>
    </row>
    <row r="88" spans="2:99" s="148" customFormat="1">
      <c r="B88" s="5"/>
      <c r="C88" s="5"/>
      <c r="D88" s="6"/>
      <c r="E88" s="5"/>
      <c r="F88" s="5"/>
      <c r="G88" s="6"/>
      <c r="H88" s="5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61"/>
      <c r="AH88" s="161"/>
      <c r="AI88" s="161"/>
      <c r="AJ88" s="161"/>
      <c r="AK88" s="161"/>
      <c r="AL88" s="161"/>
      <c r="AM88" s="161"/>
      <c r="AN88" s="161"/>
      <c r="AO88" s="161"/>
      <c r="AP88" s="161"/>
      <c r="AQ88" s="161"/>
      <c r="AR88" s="161"/>
      <c r="AS88" s="161"/>
      <c r="AT88" s="161"/>
      <c r="AU88" s="161"/>
      <c r="AV88" s="161"/>
      <c r="AW88" s="161"/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  <c r="BI88" s="161"/>
      <c r="BJ88" s="161"/>
      <c r="BK88" s="161"/>
      <c r="BL88" s="161"/>
      <c r="BM88" s="161"/>
      <c r="BN88" s="161"/>
      <c r="BO88" s="161"/>
      <c r="BP88" s="161"/>
      <c r="BQ88" s="161"/>
      <c r="BR88" s="161"/>
      <c r="BS88" s="161"/>
      <c r="BT88" s="161"/>
      <c r="BU88" s="161"/>
      <c r="BV88" s="161"/>
      <c r="BW88" s="161"/>
      <c r="BX88" s="161"/>
      <c r="BY88" s="161"/>
      <c r="BZ88" s="161"/>
      <c r="CA88" s="161"/>
      <c r="CB88" s="161"/>
      <c r="CC88" s="161"/>
      <c r="CD88" s="161"/>
      <c r="CE88" s="161"/>
      <c r="CF88" s="161"/>
      <c r="CG88" s="161"/>
      <c r="CH88" s="161"/>
      <c r="CI88" s="161"/>
      <c r="CJ88" s="161"/>
      <c r="CK88" s="161"/>
      <c r="CL88" s="161"/>
      <c r="CM88" s="161"/>
      <c r="CN88" s="161"/>
      <c r="CO88" s="161"/>
      <c r="CP88" s="161"/>
      <c r="CQ88" s="161"/>
      <c r="CR88" s="161"/>
      <c r="CS88" s="161"/>
      <c r="CT88" s="161"/>
      <c r="CU88" s="161"/>
    </row>
    <row r="89" spans="2:99" s="148" customFormat="1">
      <c r="B89" s="5"/>
      <c r="C89" s="5"/>
      <c r="D89" s="6"/>
      <c r="E89" s="5"/>
      <c r="F89" s="5"/>
      <c r="G89" s="6"/>
      <c r="H89" s="5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61"/>
      <c r="Z89" s="161"/>
      <c r="AA89" s="161"/>
      <c r="AB89" s="161"/>
      <c r="AC89" s="161"/>
      <c r="AD89" s="161"/>
      <c r="AE89" s="161"/>
      <c r="AF89" s="161"/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  <c r="BI89" s="161"/>
      <c r="BJ89" s="161"/>
      <c r="BK89" s="161"/>
      <c r="BL89" s="161"/>
      <c r="BM89" s="161"/>
      <c r="BN89" s="161"/>
      <c r="BO89" s="161"/>
      <c r="BP89" s="161"/>
      <c r="BQ89" s="161"/>
      <c r="BR89" s="161"/>
      <c r="BS89" s="161"/>
      <c r="BT89" s="161"/>
      <c r="BU89" s="161"/>
      <c r="BV89" s="161"/>
      <c r="BW89" s="161"/>
      <c r="BX89" s="161"/>
      <c r="BY89" s="161"/>
      <c r="BZ89" s="161"/>
      <c r="CA89" s="161"/>
      <c r="CB89" s="161"/>
      <c r="CC89" s="161"/>
      <c r="CD89" s="161"/>
      <c r="CE89" s="161"/>
      <c r="CF89" s="161"/>
      <c r="CG89" s="161"/>
      <c r="CH89" s="161"/>
      <c r="CI89" s="161"/>
      <c r="CJ89" s="161"/>
      <c r="CK89" s="161"/>
      <c r="CL89" s="161"/>
      <c r="CM89" s="161"/>
      <c r="CN89" s="161"/>
      <c r="CO89" s="161"/>
      <c r="CP89" s="161"/>
      <c r="CQ89" s="161"/>
      <c r="CR89" s="161"/>
      <c r="CS89" s="161"/>
      <c r="CT89" s="161"/>
      <c r="CU89" s="161"/>
    </row>
    <row r="90" spans="2:99" s="148" customFormat="1">
      <c r="B90" s="5"/>
      <c r="C90" s="5"/>
      <c r="D90" s="6"/>
      <c r="E90" s="5"/>
      <c r="F90" s="5"/>
      <c r="G90" s="6"/>
      <c r="H90" s="5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  <c r="AF90" s="161"/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161"/>
      <c r="AV90" s="161"/>
      <c r="AW90" s="161"/>
      <c r="AX90" s="161"/>
      <c r="AY90" s="161"/>
      <c r="AZ90" s="161"/>
      <c r="BA90" s="161"/>
      <c r="BB90" s="161"/>
      <c r="BC90" s="161"/>
      <c r="BD90" s="161"/>
      <c r="BE90" s="161"/>
      <c r="BF90" s="161"/>
      <c r="BG90" s="161"/>
      <c r="BH90" s="161"/>
      <c r="BI90" s="161"/>
      <c r="BJ90" s="161"/>
      <c r="BK90" s="161"/>
      <c r="BL90" s="161"/>
      <c r="BM90" s="161"/>
      <c r="BN90" s="161"/>
      <c r="BO90" s="161"/>
      <c r="BP90" s="161"/>
      <c r="BQ90" s="161"/>
      <c r="BR90" s="161"/>
      <c r="BS90" s="161"/>
      <c r="BT90" s="161"/>
      <c r="BU90" s="161"/>
      <c r="BV90" s="161"/>
      <c r="BW90" s="161"/>
      <c r="BX90" s="161"/>
      <c r="BY90" s="161"/>
      <c r="BZ90" s="161"/>
      <c r="CA90" s="161"/>
      <c r="CB90" s="161"/>
      <c r="CC90" s="161"/>
      <c r="CD90" s="161"/>
      <c r="CE90" s="161"/>
      <c r="CF90" s="161"/>
      <c r="CG90" s="161"/>
      <c r="CH90" s="161"/>
      <c r="CI90" s="161"/>
      <c r="CJ90" s="161"/>
      <c r="CK90" s="161"/>
      <c r="CL90" s="161"/>
      <c r="CM90" s="161"/>
      <c r="CN90" s="161"/>
      <c r="CO90" s="161"/>
      <c r="CP90" s="161"/>
      <c r="CQ90" s="161"/>
      <c r="CR90" s="161"/>
      <c r="CS90" s="161"/>
      <c r="CT90" s="161"/>
      <c r="CU90" s="161"/>
    </row>
    <row r="91" spans="2:99" s="148" customFormat="1">
      <c r="B91" s="5"/>
      <c r="C91" s="5"/>
      <c r="D91" s="6"/>
      <c r="E91" s="5"/>
      <c r="F91" s="5"/>
      <c r="G91" s="6"/>
      <c r="H91" s="5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  <c r="BI91" s="161"/>
      <c r="BJ91" s="161"/>
      <c r="BK91" s="161"/>
      <c r="BL91" s="161"/>
      <c r="BM91" s="161"/>
      <c r="BN91" s="161"/>
      <c r="BO91" s="161"/>
      <c r="BP91" s="161"/>
      <c r="BQ91" s="161"/>
      <c r="BR91" s="161"/>
      <c r="BS91" s="161"/>
      <c r="BT91" s="161"/>
      <c r="BU91" s="161"/>
      <c r="BV91" s="161"/>
      <c r="BW91" s="161"/>
      <c r="BX91" s="161"/>
      <c r="BY91" s="161"/>
      <c r="BZ91" s="161"/>
      <c r="CA91" s="161"/>
      <c r="CB91" s="161"/>
      <c r="CC91" s="161"/>
      <c r="CD91" s="161"/>
      <c r="CE91" s="161"/>
      <c r="CF91" s="161"/>
      <c r="CG91" s="161"/>
      <c r="CH91" s="161"/>
      <c r="CI91" s="161"/>
      <c r="CJ91" s="161"/>
      <c r="CK91" s="161"/>
      <c r="CL91" s="161"/>
      <c r="CM91" s="161"/>
      <c r="CN91" s="161"/>
      <c r="CO91" s="161"/>
      <c r="CP91" s="161"/>
      <c r="CQ91" s="161"/>
      <c r="CR91" s="161"/>
      <c r="CS91" s="161"/>
      <c r="CT91" s="161"/>
      <c r="CU91" s="161"/>
    </row>
    <row r="92" spans="2:99" s="148" customFormat="1">
      <c r="B92" s="5"/>
      <c r="C92" s="5"/>
      <c r="D92" s="6"/>
      <c r="E92" s="5"/>
      <c r="F92" s="5"/>
      <c r="G92" s="6"/>
      <c r="H92" s="5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  <c r="BI92" s="161"/>
      <c r="BJ92" s="161"/>
      <c r="BK92" s="161"/>
      <c r="BL92" s="161"/>
      <c r="BM92" s="161"/>
      <c r="BN92" s="161"/>
      <c r="BO92" s="161"/>
      <c r="BP92" s="161"/>
      <c r="BQ92" s="161"/>
      <c r="BR92" s="161"/>
      <c r="BS92" s="161"/>
      <c r="BT92" s="161"/>
      <c r="BU92" s="161"/>
      <c r="BV92" s="161"/>
      <c r="BW92" s="161"/>
      <c r="BX92" s="161"/>
      <c r="BY92" s="161"/>
      <c r="BZ92" s="161"/>
      <c r="CA92" s="161"/>
      <c r="CB92" s="161"/>
      <c r="CC92" s="161"/>
      <c r="CD92" s="161"/>
      <c r="CE92" s="161"/>
      <c r="CF92" s="161"/>
      <c r="CG92" s="161"/>
      <c r="CH92" s="161"/>
      <c r="CI92" s="161"/>
      <c r="CJ92" s="161"/>
      <c r="CK92" s="161"/>
      <c r="CL92" s="161"/>
      <c r="CM92" s="161"/>
      <c r="CN92" s="161"/>
      <c r="CO92" s="161"/>
      <c r="CP92" s="161"/>
      <c r="CQ92" s="161"/>
      <c r="CR92" s="161"/>
      <c r="CS92" s="161"/>
      <c r="CT92" s="161"/>
      <c r="CU92" s="161"/>
    </row>
    <row r="93" spans="2:99" s="148" customFormat="1">
      <c r="B93" s="5"/>
      <c r="C93" s="5"/>
      <c r="D93" s="6"/>
      <c r="E93" s="5"/>
      <c r="F93" s="5"/>
      <c r="G93" s="6"/>
      <c r="H93" s="5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61"/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  <c r="BF93" s="161"/>
      <c r="BG93" s="161"/>
      <c r="BH93" s="161"/>
      <c r="BI93" s="161"/>
      <c r="BJ93" s="161"/>
      <c r="BK93" s="161"/>
      <c r="BL93" s="161"/>
      <c r="BM93" s="161"/>
      <c r="BN93" s="161"/>
      <c r="BO93" s="161"/>
      <c r="BP93" s="161"/>
      <c r="BQ93" s="161"/>
      <c r="BR93" s="161"/>
      <c r="BS93" s="161"/>
      <c r="BT93" s="161"/>
      <c r="BU93" s="161"/>
      <c r="BV93" s="161"/>
      <c r="BW93" s="161"/>
      <c r="BX93" s="161"/>
      <c r="BY93" s="161"/>
      <c r="BZ93" s="161"/>
      <c r="CA93" s="161"/>
      <c r="CB93" s="161"/>
      <c r="CC93" s="161"/>
      <c r="CD93" s="161"/>
      <c r="CE93" s="161"/>
      <c r="CF93" s="161"/>
      <c r="CG93" s="161"/>
      <c r="CH93" s="161"/>
      <c r="CI93" s="161"/>
      <c r="CJ93" s="161"/>
      <c r="CK93" s="161"/>
      <c r="CL93" s="161"/>
      <c r="CM93" s="161"/>
      <c r="CN93" s="161"/>
      <c r="CO93" s="161"/>
      <c r="CP93" s="161"/>
      <c r="CQ93" s="161"/>
      <c r="CR93" s="161"/>
      <c r="CS93" s="161"/>
      <c r="CT93" s="161"/>
      <c r="CU93" s="161"/>
    </row>
    <row r="94" spans="2:99" s="148" customFormat="1">
      <c r="B94" s="5"/>
      <c r="C94" s="5"/>
      <c r="D94" s="6"/>
      <c r="E94" s="5"/>
      <c r="F94" s="5"/>
      <c r="G94" s="6"/>
      <c r="H94" s="5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61"/>
      <c r="AF94" s="161"/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  <c r="BI94" s="161"/>
      <c r="BJ94" s="161"/>
      <c r="BK94" s="161"/>
      <c r="BL94" s="161"/>
      <c r="BM94" s="161"/>
      <c r="BN94" s="161"/>
      <c r="BO94" s="161"/>
      <c r="BP94" s="161"/>
      <c r="BQ94" s="161"/>
      <c r="BR94" s="161"/>
      <c r="BS94" s="161"/>
      <c r="BT94" s="161"/>
      <c r="BU94" s="161"/>
      <c r="BV94" s="161"/>
      <c r="BW94" s="161"/>
      <c r="BX94" s="161"/>
      <c r="BY94" s="161"/>
      <c r="BZ94" s="161"/>
      <c r="CA94" s="161"/>
      <c r="CB94" s="161"/>
      <c r="CC94" s="161"/>
      <c r="CD94" s="161"/>
      <c r="CE94" s="161"/>
      <c r="CF94" s="161"/>
      <c r="CG94" s="161"/>
      <c r="CH94" s="161"/>
      <c r="CI94" s="161"/>
      <c r="CJ94" s="161"/>
      <c r="CK94" s="161"/>
      <c r="CL94" s="161"/>
      <c r="CM94" s="161"/>
      <c r="CN94" s="161"/>
      <c r="CO94" s="161"/>
      <c r="CP94" s="161"/>
      <c r="CQ94" s="161"/>
      <c r="CR94" s="161"/>
      <c r="CS94" s="161"/>
      <c r="CT94" s="161"/>
      <c r="CU94" s="161"/>
    </row>
    <row r="95" spans="2:99" s="148" customFormat="1">
      <c r="B95" s="5"/>
      <c r="C95" s="5"/>
      <c r="D95" s="6"/>
      <c r="E95" s="5"/>
      <c r="F95" s="5"/>
      <c r="G95" s="6"/>
      <c r="H95" s="5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  <c r="BI95" s="161"/>
      <c r="BJ95" s="161"/>
      <c r="BK95" s="161"/>
      <c r="BL95" s="161"/>
      <c r="BM95" s="161"/>
      <c r="BN95" s="161"/>
      <c r="BO95" s="161"/>
      <c r="BP95" s="161"/>
      <c r="BQ95" s="161"/>
      <c r="BR95" s="161"/>
      <c r="BS95" s="161"/>
      <c r="BT95" s="161"/>
      <c r="BU95" s="161"/>
      <c r="BV95" s="161"/>
      <c r="BW95" s="161"/>
      <c r="BX95" s="161"/>
      <c r="BY95" s="161"/>
      <c r="BZ95" s="161"/>
      <c r="CA95" s="161"/>
      <c r="CB95" s="161"/>
      <c r="CC95" s="161"/>
      <c r="CD95" s="161"/>
      <c r="CE95" s="161"/>
      <c r="CF95" s="161"/>
      <c r="CG95" s="161"/>
      <c r="CH95" s="161"/>
      <c r="CI95" s="161"/>
      <c r="CJ95" s="161"/>
      <c r="CK95" s="161"/>
      <c r="CL95" s="161"/>
      <c r="CM95" s="161"/>
      <c r="CN95" s="161"/>
      <c r="CO95" s="161"/>
      <c r="CP95" s="161"/>
      <c r="CQ95" s="161"/>
      <c r="CR95" s="161"/>
      <c r="CS95" s="161"/>
      <c r="CT95" s="161"/>
      <c r="CU95" s="161"/>
    </row>
    <row r="96" spans="2:99" s="148" customFormat="1">
      <c r="B96" s="5"/>
      <c r="C96" s="5"/>
      <c r="D96" s="6"/>
      <c r="E96" s="5"/>
      <c r="F96" s="5"/>
      <c r="G96" s="6"/>
      <c r="H96" s="5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61"/>
      <c r="Z96" s="161"/>
      <c r="AA96" s="161"/>
      <c r="AB96" s="161"/>
      <c r="AC96" s="161"/>
      <c r="AD96" s="161"/>
      <c r="AE96" s="161"/>
      <c r="AF96" s="161"/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  <c r="BI96" s="161"/>
      <c r="BJ96" s="161"/>
      <c r="BK96" s="161"/>
      <c r="BL96" s="161"/>
      <c r="BM96" s="161"/>
      <c r="BN96" s="161"/>
      <c r="BO96" s="161"/>
      <c r="BP96" s="161"/>
      <c r="BQ96" s="161"/>
      <c r="BR96" s="161"/>
      <c r="BS96" s="161"/>
      <c r="BT96" s="161"/>
      <c r="BU96" s="161"/>
      <c r="BV96" s="161"/>
      <c r="BW96" s="161"/>
      <c r="BX96" s="161"/>
      <c r="BY96" s="161"/>
      <c r="BZ96" s="161"/>
      <c r="CA96" s="161"/>
      <c r="CB96" s="161"/>
      <c r="CC96" s="161"/>
      <c r="CD96" s="161"/>
      <c r="CE96" s="161"/>
      <c r="CF96" s="161"/>
      <c r="CG96" s="161"/>
      <c r="CH96" s="161"/>
      <c r="CI96" s="161"/>
      <c r="CJ96" s="161"/>
      <c r="CK96" s="161"/>
      <c r="CL96" s="161"/>
      <c r="CM96" s="161"/>
      <c r="CN96" s="161"/>
      <c r="CO96" s="161"/>
      <c r="CP96" s="161"/>
      <c r="CQ96" s="161"/>
      <c r="CR96" s="161"/>
      <c r="CS96" s="161"/>
      <c r="CT96" s="161"/>
      <c r="CU96" s="161"/>
    </row>
    <row r="97" spans="2:99" s="148" customFormat="1">
      <c r="B97" s="5"/>
      <c r="C97" s="5"/>
      <c r="D97" s="6"/>
      <c r="E97" s="5"/>
      <c r="F97" s="5"/>
      <c r="G97" s="6"/>
      <c r="H97" s="5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  <c r="BI97" s="161"/>
      <c r="BJ97" s="161"/>
      <c r="BK97" s="161"/>
      <c r="BL97" s="161"/>
      <c r="BM97" s="161"/>
      <c r="BN97" s="161"/>
      <c r="BO97" s="161"/>
      <c r="BP97" s="161"/>
      <c r="BQ97" s="161"/>
      <c r="BR97" s="161"/>
      <c r="BS97" s="161"/>
      <c r="BT97" s="161"/>
      <c r="BU97" s="161"/>
      <c r="BV97" s="161"/>
      <c r="BW97" s="161"/>
      <c r="BX97" s="161"/>
      <c r="BY97" s="161"/>
      <c r="BZ97" s="161"/>
      <c r="CA97" s="161"/>
      <c r="CB97" s="161"/>
      <c r="CC97" s="161"/>
      <c r="CD97" s="161"/>
      <c r="CE97" s="161"/>
      <c r="CF97" s="161"/>
      <c r="CG97" s="161"/>
      <c r="CH97" s="161"/>
      <c r="CI97" s="161"/>
      <c r="CJ97" s="161"/>
      <c r="CK97" s="161"/>
      <c r="CL97" s="161"/>
      <c r="CM97" s="161"/>
      <c r="CN97" s="161"/>
      <c r="CO97" s="161"/>
      <c r="CP97" s="161"/>
      <c r="CQ97" s="161"/>
      <c r="CR97" s="161"/>
      <c r="CS97" s="161"/>
      <c r="CT97" s="161"/>
      <c r="CU97" s="161"/>
    </row>
    <row r="98" spans="2:99" s="148" customFormat="1">
      <c r="B98" s="5"/>
      <c r="C98" s="5"/>
      <c r="D98" s="6"/>
      <c r="E98" s="5"/>
      <c r="F98" s="5"/>
      <c r="G98" s="6"/>
      <c r="H98" s="5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  <c r="BI98" s="161"/>
      <c r="BJ98" s="161"/>
      <c r="BK98" s="161"/>
      <c r="BL98" s="161"/>
      <c r="BM98" s="161"/>
      <c r="BN98" s="161"/>
      <c r="BO98" s="161"/>
      <c r="BP98" s="161"/>
      <c r="BQ98" s="161"/>
      <c r="BR98" s="161"/>
      <c r="BS98" s="161"/>
      <c r="BT98" s="161"/>
      <c r="BU98" s="161"/>
      <c r="BV98" s="161"/>
      <c r="BW98" s="161"/>
      <c r="BX98" s="161"/>
      <c r="BY98" s="161"/>
      <c r="BZ98" s="161"/>
      <c r="CA98" s="161"/>
      <c r="CB98" s="161"/>
      <c r="CC98" s="161"/>
      <c r="CD98" s="161"/>
      <c r="CE98" s="161"/>
      <c r="CF98" s="161"/>
      <c r="CG98" s="161"/>
      <c r="CH98" s="161"/>
      <c r="CI98" s="161"/>
      <c r="CJ98" s="161"/>
      <c r="CK98" s="161"/>
      <c r="CL98" s="161"/>
      <c r="CM98" s="161"/>
      <c r="CN98" s="161"/>
      <c r="CO98" s="161"/>
      <c r="CP98" s="161"/>
      <c r="CQ98" s="161"/>
      <c r="CR98" s="161"/>
      <c r="CS98" s="161"/>
      <c r="CT98" s="161"/>
      <c r="CU98" s="161"/>
    </row>
    <row r="99" spans="2:99" s="148" customFormat="1">
      <c r="B99" s="5"/>
      <c r="C99" s="5"/>
      <c r="D99" s="6"/>
      <c r="E99" s="5"/>
      <c r="F99" s="5"/>
      <c r="G99" s="6"/>
      <c r="H99" s="5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  <c r="AE99" s="161"/>
      <c r="AF99" s="161"/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  <c r="BI99" s="161"/>
      <c r="BJ99" s="161"/>
      <c r="BK99" s="161"/>
      <c r="BL99" s="161"/>
      <c r="BM99" s="161"/>
      <c r="BN99" s="161"/>
      <c r="BO99" s="161"/>
      <c r="BP99" s="161"/>
      <c r="BQ99" s="161"/>
      <c r="BR99" s="161"/>
      <c r="BS99" s="161"/>
      <c r="BT99" s="161"/>
      <c r="BU99" s="161"/>
      <c r="BV99" s="161"/>
      <c r="BW99" s="161"/>
      <c r="BX99" s="161"/>
      <c r="BY99" s="161"/>
      <c r="BZ99" s="161"/>
      <c r="CA99" s="161"/>
      <c r="CB99" s="161"/>
      <c r="CC99" s="161"/>
      <c r="CD99" s="161"/>
      <c r="CE99" s="161"/>
      <c r="CF99" s="161"/>
      <c r="CG99" s="161"/>
      <c r="CH99" s="161"/>
      <c r="CI99" s="161"/>
      <c r="CJ99" s="161"/>
      <c r="CK99" s="161"/>
      <c r="CL99" s="161"/>
      <c r="CM99" s="161"/>
      <c r="CN99" s="161"/>
      <c r="CO99" s="161"/>
      <c r="CP99" s="161"/>
      <c r="CQ99" s="161"/>
      <c r="CR99" s="161"/>
      <c r="CS99" s="161"/>
      <c r="CT99" s="161"/>
      <c r="CU99" s="161"/>
    </row>
    <row r="100" spans="2:99" s="148" customFormat="1">
      <c r="B100" s="5"/>
      <c r="C100" s="5"/>
      <c r="D100" s="6"/>
      <c r="E100" s="5"/>
      <c r="F100" s="5"/>
      <c r="G100" s="6"/>
      <c r="H100" s="5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1"/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  <c r="BI100" s="161"/>
      <c r="BJ100" s="161"/>
      <c r="BK100" s="161"/>
      <c r="BL100" s="161"/>
      <c r="BM100" s="161"/>
      <c r="BN100" s="161"/>
      <c r="BO100" s="161"/>
      <c r="BP100" s="161"/>
      <c r="BQ100" s="161"/>
      <c r="BR100" s="161"/>
      <c r="BS100" s="161"/>
      <c r="BT100" s="161"/>
      <c r="BU100" s="161"/>
      <c r="BV100" s="161"/>
      <c r="BW100" s="161"/>
      <c r="BX100" s="161"/>
      <c r="BY100" s="161"/>
      <c r="BZ100" s="161"/>
      <c r="CA100" s="161"/>
      <c r="CB100" s="161"/>
      <c r="CC100" s="161"/>
      <c r="CD100" s="161"/>
      <c r="CE100" s="161"/>
      <c r="CF100" s="161"/>
      <c r="CG100" s="161"/>
      <c r="CH100" s="161"/>
      <c r="CI100" s="161"/>
      <c r="CJ100" s="161"/>
      <c r="CK100" s="161"/>
      <c r="CL100" s="161"/>
      <c r="CM100" s="161"/>
      <c r="CN100" s="161"/>
      <c r="CO100" s="161"/>
      <c r="CP100" s="161"/>
      <c r="CQ100" s="161"/>
      <c r="CR100" s="161"/>
      <c r="CS100" s="161"/>
      <c r="CT100" s="161"/>
      <c r="CU100" s="161"/>
    </row>
    <row r="101" spans="2:99" s="148" customFormat="1">
      <c r="B101" s="5"/>
      <c r="C101" s="5"/>
      <c r="D101" s="6"/>
      <c r="E101" s="5"/>
      <c r="F101" s="5"/>
      <c r="G101" s="6"/>
      <c r="H101" s="5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/>
      <c r="AF101" s="161"/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161"/>
      <c r="AV101" s="161"/>
      <c r="AW101" s="161"/>
      <c r="AX101" s="161"/>
      <c r="AY101" s="161"/>
      <c r="AZ101" s="161"/>
      <c r="BA101" s="161"/>
      <c r="BB101" s="161"/>
      <c r="BC101" s="161"/>
      <c r="BD101" s="161"/>
      <c r="BE101" s="161"/>
      <c r="BF101" s="161"/>
      <c r="BG101" s="161"/>
      <c r="BH101" s="161"/>
      <c r="BI101" s="161"/>
      <c r="BJ101" s="161"/>
      <c r="BK101" s="161"/>
      <c r="BL101" s="161"/>
      <c r="BM101" s="161"/>
      <c r="BN101" s="161"/>
      <c r="BO101" s="161"/>
      <c r="BP101" s="161"/>
      <c r="BQ101" s="161"/>
      <c r="BR101" s="161"/>
      <c r="BS101" s="161"/>
      <c r="BT101" s="161"/>
      <c r="BU101" s="161"/>
      <c r="BV101" s="161"/>
      <c r="BW101" s="161"/>
      <c r="BX101" s="161"/>
      <c r="BY101" s="161"/>
      <c r="BZ101" s="161"/>
      <c r="CA101" s="161"/>
      <c r="CB101" s="161"/>
      <c r="CC101" s="161"/>
      <c r="CD101" s="161"/>
      <c r="CE101" s="161"/>
      <c r="CF101" s="161"/>
      <c r="CG101" s="161"/>
      <c r="CH101" s="161"/>
      <c r="CI101" s="161"/>
      <c r="CJ101" s="161"/>
      <c r="CK101" s="161"/>
      <c r="CL101" s="161"/>
      <c r="CM101" s="161"/>
      <c r="CN101" s="161"/>
      <c r="CO101" s="161"/>
      <c r="CP101" s="161"/>
      <c r="CQ101" s="161"/>
      <c r="CR101" s="161"/>
      <c r="CS101" s="161"/>
      <c r="CT101" s="161"/>
      <c r="CU101" s="161"/>
    </row>
    <row r="102" spans="2:99" s="148" customFormat="1">
      <c r="B102" s="5"/>
      <c r="C102" s="5"/>
      <c r="D102" s="6"/>
      <c r="E102" s="5"/>
      <c r="F102" s="5"/>
      <c r="G102" s="6"/>
      <c r="H102" s="5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/>
      <c r="AF102" s="161"/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  <c r="BI102" s="161"/>
      <c r="BJ102" s="161"/>
      <c r="BK102" s="161"/>
      <c r="BL102" s="161"/>
      <c r="BM102" s="161"/>
      <c r="BN102" s="161"/>
      <c r="BO102" s="161"/>
      <c r="BP102" s="161"/>
      <c r="BQ102" s="161"/>
      <c r="BR102" s="161"/>
      <c r="BS102" s="161"/>
      <c r="BT102" s="161"/>
      <c r="BU102" s="161"/>
      <c r="BV102" s="161"/>
      <c r="BW102" s="161"/>
      <c r="BX102" s="161"/>
      <c r="BY102" s="161"/>
      <c r="BZ102" s="161"/>
      <c r="CA102" s="161"/>
      <c r="CB102" s="161"/>
      <c r="CC102" s="161"/>
      <c r="CD102" s="161"/>
      <c r="CE102" s="161"/>
      <c r="CF102" s="161"/>
      <c r="CG102" s="161"/>
      <c r="CH102" s="161"/>
      <c r="CI102" s="161"/>
      <c r="CJ102" s="161"/>
      <c r="CK102" s="161"/>
      <c r="CL102" s="161"/>
      <c r="CM102" s="161"/>
      <c r="CN102" s="161"/>
      <c r="CO102" s="161"/>
      <c r="CP102" s="161"/>
      <c r="CQ102" s="161"/>
      <c r="CR102" s="161"/>
      <c r="CS102" s="161"/>
      <c r="CT102" s="161"/>
      <c r="CU102" s="161"/>
    </row>
    <row r="103" spans="2:99" s="148" customFormat="1">
      <c r="B103" s="5"/>
      <c r="C103" s="5"/>
      <c r="D103" s="6"/>
      <c r="E103" s="5"/>
      <c r="F103" s="5"/>
      <c r="G103" s="6"/>
      <c r="H103" s="5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/>
      <c r="AF103" s="161"/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  <c r="BI103" s="161"/>
      <c r="BJ103" s="161"/>
      <c r="BK103" s="161"/>
      <c r="BL103" s="161"/>
      <c r="BM103" s="161"/>
      <c r="BN103" s="161"/>
      <c r="BO103" s="161"/>
      <c r="BP103" s="161"/>
      <c r="BQ103" s="161"/>
      <c r="BR103" s="161"/>
      <c r="BS103" s="161"/>
      <c r="BT103" s="161"/>
      <c r="BU103" s="161"/>
      <c r="BV103" s="161"/>
      <c r="BW103" s="161"/>
      <c r="BX103" s="161"/>
      <c r="BY103" s="161"/>
      <c r="BZ103" s="161"/>
      <c r="CA103" s="161"/>
      <c r="CB103" s="161"/>
      <c r="CC103" s="161"/>
      <c r="CD103" s="161"/>
      <c r="CE103" s="161"/>
      <c r="CF103" s="161"/>
      <c r="CG103" s="161"/>
      <c r="CH103" s="161"/>
      <c r="CI103" s="161"/>
      <c r="CJ103" s="161"/>
      <c r="CK103" s="161"/>
      <c r="CL103" s="161"/>
      <c r="CM103" s="161"/>
      <c r="CN103" s="161"/>
      <c r="CO103" s="161"/>
      <c r="CP103" s="161"/>
      <c r="CQ103" s="161"/>
      <c r="CR103" s="161"/>
      <c r="CS103" s="161"/>
      <c r="CT103" s="161"/>
      <c r="CU103" s="161"/>
    </row>
    <row r="104" spans="2:99" s="148" customFormat="1">
      <c r="B104" s="5"/>
      <c r="C104" s="5"/>
      <c r="D104" s="6"/>
      <c r="E104" s="5"/>
      <c r="F104" s="5"/>
      <c r="G104" s="6"/>
      <c r="H104" s="5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/>
      <c r="AF104" s="161"/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  <c r="BI104" s="161"/>
      <c r="BJ104" s="161"/>
      <c r="BK104" s="161"/>
      <c r="BL104" s="161"/>
      <c r="BM104" s="161"/>
      <c r="BN104" s="161"/>
      <c r="BO104" s="161"/>
      <c r="BP104" s="161"/>
      <c r="BQ104" s="161"/>
      <c r="BR104" s="161"/>
      <c r="BS104" s="161"/>
      <c r="BT104" s="161"/>
      <c r="BU104" s="161"/>
      <c r="BV104" s="161"/>
      <c r="BW104" s="161"/>
      <c r="BX104" s="161"/>
      <c r="BY104" s="161"/>
      <c r="BZ104" s="161"/>
      <c r="CA104" s="161"/>
      <c r="CB104" s="161"/>
      <c r="CC104" s="161"/>
      <c r="CD104" s="161"/>
      <c r="CE104" s="161"/>
      <c r="CF104" s="161"/>
      <c r="CG104" s="161"/>
      <c r="CH104" s="161"/>
      <c r="CI104" s="161"/>
      <c r="CJ104" s="161"/>
      <c r="CK104" s="161"/>
      <c r="CL104" s="161"/>
      <c r="CM104" s="161"/>
      <c r="CN104" s="161"/>
      <c r="CO104" s="161"/>
      <c r="CP104" s="161"/>
      <c r="CQ104" s="161"/>
      <c r="CR104" s="161"/>
      <c r="CS104" s="161"/>
      <c r="CT104" s="161"/>
      <c r="CU104" s="161"/>
    </row>
    <row r="105" spans="2:99" s="148" customFormat="1">
      <c r="B105" s="5"/>
      <c r="C105" s="5"/>
      <c r="D105" s="6"/>
      <c r="E105" s="5"/>
      <c r="F105" s="5"/>
      <c r="G105" s="6"/>
      <c r="H105" s="5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/>
      <c r="AF105" s="161"/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  <c r="BI105" s="161"/>
      <c r="BJ105" s="161"/>
      <c r="BK105" s="161"/>
      <c r="BL105" s="161"/>
      <c r="BM105" s="161"/>
      <c r="BN105" s="161"/>
      <c r="BO105" s="161"/>
      <c r="BP105" s="161"/>
      <c r="BQ105" s="161"/>
      <c r="BR105" s="161"/>
      <c r="BS105" s="161"/>
      <c r="BT105" s="161"/>
      <c r="BU105" s="161"/>
      <c r="BV105" s="161"/>
      <c r="BW105" s="161"/>
      <c r="BX105" s="161"/>
      <c r="BY105" s="161"/>
      <c r="BZ105" s="161"/>
      <c r="CA105" s="161"/>
      <c r="CB105" s="161"/>
      <c r="CC105" s="161"/>
      <c r="CD105" s="161"/>
      <c r="CE105" s="161"/>
      <c r="CF105" s="161"/>
      <c r="CG105" s="161"/>
      <c r="CH105" s="161"/>
      <c r="CI105" s="161"/>
      <c r="CJ105" s="161"/>
      <c r="CK105" s="161"/>
      <c r="CL105" s="161"/>
      <c r="CM105" s="161"/>
      <c r="CN105" s="161"/>
      <c r="CO105" s="161"/>
      <c r="CP105" s="161"/>
      <c r="CQ105" s="161"/>
      <c r="CR105" s="161"/>
      <c r="CS105" s="161"/>
      <c r="CT105" s="161"/>
      <c r="CU105" s="161"/>
    </row>
    <row r="106" spans="2:99" s="148" customFormat="1">
      <c r="B106" s="5"/>
      <c r="C106" s="5"/>
      <c r="D106" s="6"/>
      <c r="E106" s="5"/>
      <c r="F106" s="5"/>
      <c r="G106" s="6"/>
      <c r="H106" s="5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/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  <c r="BI106" s="161"/>
      <c r="BJ106" s="161"/>
      <c r="BK106" s="161"/>
      <c r="BL106" s="161"/>
      <c r="BM106" s="161"/>
      <c r="BN106" s="161"/>
      <c r="BO106" s="161"/>
      <c r="BP106" s="161"/>
      <c r="BQ106" s="161"/>
      <c r="BR106" s="161"/>
      <c r="BS106" s="161"/>
      <c r="BT106" s="161"/>
      <c r="BU106" s="161"/>
      <c r="BV106" s="161"/>
      <c r="BW106" s="161"/>
      <c r="BX106" s="161"/>
      <c r="BY106" s="161"/>
      <c r="BZ106" s="161"/>
      <c r="CA106" s="161"/>
      <c r="CB106" s="161"/>
      <c r="CC106" s="161"/>
      <c r="CD106" s="161"/>
      <c r="CE106" s="161"/>
      <c r="CF106" s="161"/>
      <c r="CG106" s="161"/>
      <c r="CH106" s="161"/>
      <c r="CI106" s="161"/>
      <c r="CJ106" s="161"/>
      <c r="CK106" s="161"/>
      <c r="CL106" s="161"/>
      <c r="CM106" s="161"/>
      <c r="CN106" s="161"/>
      <c r="CO106" s="161"/>
      <c r="CP106" s="161"/>
      <c r="CQ106" s="161"/>
      <c r="CR106" s="161"/>
      <c r="CS106" s="161"/>
      <c r="CT106" s="161"/>
      <c r="CU106" s="161"/>
    </row>
    <row r="107" spans="2:99" s="148" customFormat="1">
      <c r="B107" s="5"/>
      <c r="C107" s="5"/>
      <c r="D107" s="6"/>
      <c r="E107" s="5"/>
      <c r="F107" s="5"/>
      <c r="G107" s="6"/>
      <c r="H107" s="5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/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  <c r="BI107" s="161"/>
      <c r="BJ107" s="161"/>
      <c r="BK107" s="161"/>
      <c r="BL107" s="161"/>
      <c r="BM107" s="161"/>
      <c r="BN107" s="161"/>
      <c r="BO107" s="161"/>
      <c r="BP107" s="161"/>
      <c r="BQ107" s="161"/>
      <c r="BR107" s="161"/>
      <c r="BS107" s="161"/>
      <c r="BT107" s="161"/>
      <c r="BU107" s="161"/>
      <c r="BV107" s="161"/>
      <c r="BW107" s="161"/>
      <c r="BX107" s="161"/>
      <c r="BY107" s="161"/>
      <c r="BZ107" s="161"/>
      <c r="CA107" s="161"/>
      <c r="CB107" s="161"/>
      <c r="CC107" s="161"/>
      <c r="CD107" s="161"/>
      <c r="CE107" s="161"/>
      <c r="CF107" s="161"/>
      <c r="CG107" s="161"/>
      <c r="CH107" s="161"/>
      <c r="CI107" s="161"/>
      <c r="CJ107" s="161"/>
      <c r="CK107" s="161"/>
      <c r="CL107" s="161"/>
      <c r="CM107" s="161"/>
      <c r="CN107" s="161"/>
      <c r="CO107" s="161"/>
      <c r="CP107" s="161"/>
      <c r="CQ107" s="161"/>
      <c r="CR107" s="161"/>
      <c r="CS107" s="161"/>
      <c r="CT107" s="161"/>
      <c r="CU107" s="161"/>
    </row>
    <row r="108" spans="2:99" s="148" customFormat="1">
      <c r="B108" s="5"/>
      <c r="C108" s="5"/>
      <c r="D108" s="6"/>
      <c r="E108" s="5"/>
      <c r="F108" s="5"/>
      <c r="G108" s="6"/>
      <c r="H108" s="5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/>
      <c r="AF108" s="161"/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  <c r="BI108" s="161"/>
      <c r="BJ108" s="161"/>
      <c r="BK108" s="161"/>
      <c r="BL108" s="161"/>
      <c r="BM108" s="161"/>
      <c r="BN108" s="161"/>
      <c r="BO108" s="161"/>
      <c r="BP108" s="161"/>
      <c r="BQ108" s="161"/>
      <c r="BR108" s="161"/>
      <c r="BS108" s="161"/>
      <c r="BT108" s="161"/>
      <c r="BU108" s="161"/>
      <c r="BV108" s="161"/>
      <c r="BW108" s="161"/>
      <c r="BX108" s="161"/>
      <c r="BY108" s="161"/>
      <c r="BZ108" s="161"/>
      <c r="CA108" s="161"/>
      <c r="CB108" s="161"/>
      <c r="CC108" s="161"/>
      <c r="CD108" s="161"/>
      <c r="CE108" s="161"/>
      <c r="CF108" s="161"/>
      <c r="CG108" s="161"/>
      <c r="CH108" s="161"/>
      <c r="CI108" s="161"/>
      <c r="CJ108" s="161"/>
      <c r="CK108" s="161"/>
      <c r="CL108" s="161"/>
      <c r="CM108" s="161"/>
      <c r="CN108" s="161"/>
      <c r="CO108" s="161"/>
      <c r="CP108" s="161"/>
      <c r="CQ108" s="161"/>
      <c r="CR108" s="161"/>
      <c r="CS108" s="161"/>
      <c r="CT108" s="161"/>
      <c r="CU108" s="161"/>
    </row>
    <row r="109" spans="2:99" s="148" customFormat="1">
      <c r="B109" s="5"/>
      <c r="C109" s="5"/>
      <c r="D109" s="6"/>
      <c r="E109" s="5"/>
      <c r="F109" s="5"/>
      <c r="G109" s="6"/>
      <c r="H109" s="5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/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  <c r="BI109" s="161"/>
      <c r="BJ109" s="161"/>
      <c r="BK109" s="161"/>
      <c r="BL109" s="161"/>
      <c r="BM109" s="161"/>
      <c r="BN109" s="161"/>
      <c r="BO109" s="161"/>
      <c r="BP109" s="161"/>
      <c r="BQ109" s="161"/>
      <c r="BR109" s="161"/>
      <c r="BS109" s="161"/>
      <c r="BT109" s="161"/>
      <c r="BU109" s="161"/>
      <c r="BV109" s="161"/>
      <c r="BW109" s="161"/>
      <c r="BX109" s="161"/>
      <c r="BY109" s="161"/>
      <c r="BZ109" s="161"/>
      <c r="CA109" s="161"/>
      <c r="CB109" s="161"/>
      <c r="CC109" s="161"/>
      <c r="CD109" s="161"/>
      <c r="CE109" s="161"/>
      <c r="CF109" s="161"/>
      <c r="CG109" s="161"/>
      <c r="CH109" s="161"/>
      <c r="CI109" s="161"/>
      <c r="CJ109" s="161"/>
      <c r="CK109" s="161"/>
      <c r="CL109" s="161"/>
      <c r="CM109" s="161"/>
      <c r="CN109" s="161"/>
      <c r="CO109" s="161"/>
      <c r="CP109" s="161"/>
      <c r="CQ109" s="161"/>
      <c r="CR109" s="161"/>
      <c r="CS109" s="161"/>
      <c r="CT109" s="161"/>
      <c r="CU109" s="161"/>
    </row>
    <row r="110" spans="2:99" s="148" customFormat="1">
      <c r="B110" s="5"/>
      <c r="C110" s="5"/>
      <c r="D110" s="6"/>
      <c r="E110" s="5"/>
      <c r="F110" s="5"/>
      <c r="G110" s="6"/>
      <c r="H110" s="5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/>
      <c r="AF110" s="161"/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  <c r="BI110" s="161"/>
      <c r="BJ110" s="161"/>
      <c r="BK110" s="161"/>
      <c r="BL110" s="161"/>
      <c r="BM110" s="161"/>
      <c r="BN110" s="161"/>
      <c r="BO110" s="161"/>
      <c r="BP110" s="161"/>
      <c r="BQ110" s="161"/>
      <c r="BR110" s="161"/>
      <c r="BS110" s="161"/>
      <c r="BT110" s="161"/>
      <c r="BU110" s="161"/>
      <c r="BV110" s="161"/>
      <c r="BW110" s="161"/>
      <c r="BX110" s="161"/>
      <c r="BY110" s="161"/>
      <c r="BZ110" s="161"/>
      <c r="CA110" s="161"/>
      <c r="CB110" s="161"/>
      <c r="CC110" s="161"/>
      <c r="CD110" s="161"/>
      <c r="CE110" s="161"/>
      <c r="CF110" s="161"/>
      <c r="CG110" s="161"/>
      <c r="CH110" s="161"/>
      <c r="CI110" s="161"/>
      <c r="CJ110" s="161"/>
      <c r="CK110" s="161"/>
      <c r="CL110" s="161"/>
      <c r="CM110" s="161"/>
      <c r="CN110" s="161"/>
      <c r="CO110" s="161"/>
      <c r="CP110" s="161"/>
      <c r="CQ110" s="161"/>
      <c r="CR110" s="161"/>
      <c r="CS110" s="161"/>
      <c r="CT110" s="161"/>
      <c r="CU110" s="161"/>
    </row>
    <row r="111" spans="2:99" s="148" customFormat="1">
      <c r="B111" s="5"/>
      <c r="C111" s="5"/>
      <c r="D111" s="6"/>
      <c r="E111" s="5"/>
      <c r="F111" s="5"/>
      <c r="G111" s="6"/>
      <c r="H111" s="5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/>
      <c r="AF111" s="161"/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  <c r="BI111" s="161"/>
      <c r="BJ111" s="161"/>
      <c r="BK111" s="161"/>
      <c r="BL111" s="161"/>
      <c r="BM111" s="161"/>
      <c r="BN111" s="161"/>
      <c r="BO111" s="161"/>
      <c r="BP111" s="161"/>
      <c r="BQ111" s="161"/>
      <c r="BR111" s="161"/>
      <c r="BS111" s="161"/>
      <c r="BT111" s="161"/>
      <c r="BU111" s="161"/>
      <c r="BV111" s="161"/>
      <c r="BW111" s="161"/>
      <c r="BX111" s="161"/>
      <c r="BY111" s="161"/>
      <c r="BZ111" s="161"/>
      <c r="CA111" s="161"/>
      <c r="CB111" s="161"/>
      <c r="CC111" s="161"/>
      <c r="CD111" s="161"/>
      <c r="CE111" s="161"/>
      <c r="CF111" s="161"/>
      <c r="CG111" s="161"/>
      <c r="CH111" s="161"/>
      <c r="CI111" s="161"/>
      <c r="CJ111" s="161"/>
      <c r="CK111" s="161"/>
      <c r="CL111" s="161"/>
      <c r="CM111" s="161"/>
      <c r="CN111" s="161"/>
      <c r="CO111" s="161"/>
      <c r="CP111" s="161"/>
      <c r="CQ111" s="161"/>
      <c r="CR111" s="161"/>
      <c r="CS111" s="161"/>
      <c r="CT111" s="161"/>
      <c r="CU111" s="161"/>
    </row>
    <row r="112" spans="2:99" s="148" customFormat="1">
      <c r="B112" s="5"/>
      <c r="C112" s="5"/>
      <c r="D112" s="6"/>
      <c r="E112" s="5"/>
      <c r="F112" s="5"/>
      <c r="G112" s="6"/>
      <c r="H112" s="5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/>
      <c r="AF112" s="161"/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  <c r="BI112" s="161"/>
      <c r="BJ112" s="161"/>
      <c r="BK112" s="161"/>
      <c r="BL112" s="161"/>
      <c r="BM112" s="161"/>
      <c r="BN112" s="161"/>
      <c r="BO112" s="161"/>
      <c r="BP112" s="161"/>
      <c r="BQ112" s="161"/>
      <c r="BR112" s="161"/>
      <c r="BS112" s="161"/>
      <c r="BT112" s="161"/>
      <c r="BU112" s="161"/>
      <c r="BV112" s="161"/>
      <c r="BW112" s="161"/>
      <c r="BX112" s="161"/>
      <c r="BY112" s="161"/>
      <c r="BZ112" s="161"/>
      <c r="CA112" s="161"/>
      <c r="CB112" s="161"/>
      <c r="CC112" s="161"/>
      <c r="CD112" s="161"/>
      <c r="CE112" s="161"/>
      <c r="CF112" s="161"/>
      <c r="CG112" s="161"/>
      <c r="CH112" s="161"/>
      <c r="CI112" s="161"/>
      <c r="CJ112" s="161"/>
      <c r="CK112" s="161"/>
      <c r="CL112" s="161"/>
      <c r="CM112" s="161"/>
      <c r="CN112" s="161"/>
      <c r="CO112" s="161"/>
      <c r="CP112" s="161"/>
      <c r="CQ112" s="161"/>
      <c r="CR112" s="161"/>
      <c r="CS112" s="161"/>
      <c r="CT112" s="161"/>
      <c r="CU112" s="161"/>
    </row>
    <row r="113" spans="2:99" s="148" customFormat="1">
      <c r="B113" s="5"/>
      <c r="C113" s="5"/>
      <c r="D113" s="6"/>
      <c r="E113" s="5"/>
      <c r="F113" s="5"/>
      <c r="G113" s="6"/>
      <c r="H113" s="5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/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  <c r="BI113" s="161"/>
      <c r="BJ113" s="161"/>
      <c r="BK113" s="161"/>
      <c r="BL113" s="161"/>
      <c r="BM113" s="161"/>
      <c r="BN113" s="161"/>
      <c r="BO113" s="161"/>
      <c r="BP113" s="161"/>
      <c r="BQ113" s="161"/>
      <c r="BR113" s="161"/>
      <c r="BS113" s="161"/>
      <c r="BT113" s="161"/>
      <c r="BU113" s="161"/>
      <c r="BV113" s="161"/>
      <c r="BW113" s="161"/>
      <c r="BX113" s="161"/>
      <c r="BY113" s="161"/>
      <c r="BZ113" s="161"/>
      <c r="CA113" s="161"/>
      <c r="CB113" s="161"/>
      <c r="CC113" s="161"/>
      <c r="CD113" s="161"/>
      <c r="CE113" s="161"/>
      <c r="CF113" s="161"/>
      <c r="CG113" s="161"/>
      <c r="CH113" s="161"/>
      <c r="CI113" s="161"/>
      <c r="CJ113" s="161"/>
      <c r="CK113" s="161"/>
      <c r="CL113" s="161"/>
      <c r="CM113" s="161"/>
      <c r="CN113" s="161"/>
      <c r="CO113" s="161"/>
      <c r="CP113" s="161"/>
      <c r="CQ113" s="161"/>
      <c r="CR113" s="161"/>
      <c r="CS113" s="161"/>
      <c r="CT113" s="161"/>
      <c r="CU113" s="161"/>
    </row>
    <row r="114" spans="2:99" s="148" customFormat="1">
      <c r="B114" s="5"/>
      <c r="C114" s="5"/>
      <c r="D114" s="6"/>
      <c r="E114" s="5"/>
      <c r="F114" s="5"/>
      <c r="G114" s="6"/>
      <c r="H114" s="5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/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  <c r="BI114" s="161"/>
      <c r="BJ114" s="161"/>
      <c r="BK114" s="161"/>
      <c r="BL114" s="161"/>
      <c r="BM114" s="161"/>
      <c r="BN114" s="161"/>
      <c r="BO114" s="161"/>
      <c r="BP114" s="161"/>
      <c r="BQ114" s="161"/>
      <c r="BR114" s="161"/>
      <c r="BS114" s="161"/>
      <c r="BT114" s="161"/>
      <c r="BU114" s="161"/>
      <c r="BV114" s="161"/>
      <c r="BW114" s="161"/>
      <c r="BX114" s="161"/>
      <c r="BY114" s="161"/>
      <c r="BZ114" s="161"/>
      <c r="CA114" s="161"/>
      <c r="CB114" s="161"/>
      <c r="CC114" s="161"/>
      <c r="CD114" s="161"/>
      <c r="CE114" s="161"/>
      <c r="CF114" s="161"/>
      <c r="CG114" s="161"/>
      <c r="CH114" s="161"/>
      <c r="CI114" s="161"/>
      <c r="CJ114" s="161"/>
      <c r="CK114" s="161"/>
      <c r="CL114" s="161"/>
      <c r="CM114" s="161"/>
      <c r="CN114" s="161"/>
      <c r="CO114" s="161"/>
      <c r="CP114" s="161"/>
      <c r="CQ114" s="161"/>
      <c r="CR114" s="161"/>
      <c r="CS114" s="161"/>
      <c r="CT114" s="161"/>
      <c r="CU114" s="161"/>
    </row>
    <row r="115" spans="2:99" s="148" customFormat="1">
      <c r="B115" s="5"/>
      <c r="C115" s="5"/>
      <c r="D115" s="6"/>
      <c r="E115" s="5"/>
      <c r="F115" s="5"/>
      <c r="G115" s="6"/>
      <c r="H115" s="5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/>
      <c r="AF115" s="161"/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  <c r="BI115" s="161"/>
      <c r="BJ115" s="161"/>
      <c r="BK115" s="161"/>
      <c r="BL115" s="161"/>
      <c r="BM115" s="161"/>
      <c r="BN115" s="161"/>
      <c r="BO115" s="161"/>
      <c r="BP115" s="161"/>
      <c r="BQ115" s="161"/>
      <c r="BR115" s="161"/>
      <c r="BS115" s="161"/>
      <c r="BT115" s="161"/>
      <c r="BU115" s="161"/>
      <c r="BV115" s="161"/>
      <c r="BW115" s="161"/>
      <c r="BX115" s="161"/>
      <c r="BY115" s="161"/>
      <c r="BZ115" s="161"/>
      <c r="CA115" s="161"/>
      <c r="CB115" s="161"/>
      <c r="CC115" s="161"/>
      <c r="CD115" s="161"/>
      <c r="CE115" s="161"/>
      <c r="CF115" s="161"/>
      <c r="CG115" s="161"/>
      <c r="CH115" s="161"/>
      <c r="CI115" s="161"/>
      <c r="CJ115" s="161"/>
      <c r="CK115" s="161"/>
      <c r="CL115" s="161"/>
      <c r="CM115" s="161"/>
      <c r="CN115" s="161"/>
      <c r="CO115" s="161"/>
      <c r="CP115" s="161"/>
      <c r="CQ115" s="161"/>
      <c r="CR115" s="161"/>
      <c r="CS115" s="161"/>
      <c r="CT115" s="161"/>
      <c r="CU115" s="161"/>
    </row>
    <row r="116" spans="2:99" s="148" customFormat="1">
      <c r="B116" s="5"/>
      <c r="C116" s="5"/>
      <c r="D116" s="6"/>
      <c r="E116" s="5"/>
      <c r="F116" s="5"/>
      <c r="G116" s="6"/>
      <c r="H116" s="5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  <c r="BI116" s="161"/>
      <c r="BJ116" s="161"/>
      <c r="BK116" s="161"/>
      <c r="BL116" s="161"/>
      <c r="BM116" s="161"/>
      <c r="BN116" s="161"/>
      <c r="BO116" s="161"/>
      <c r="BP116" s="161"/>
      <c r="BQ116" s="161"/>
      <c r="BR116" s="161"/>
      <c r="BS116" s="161"/>
      <c r="BT116" s="161"/>
      <c r="BU116" s="161"/>
      <c r="BV116" s="161"/>
      <c r="BW116" s="161"/>
      <c r="BX116" s="161"/>
      <c r="BY116" s="161"/>
      <c r="BZ116" s="161"/>
      <c r="CA116" s="161"/>
      <c r="CB116" s="161"/>
      <c r="CC116" s="161"/>
      <c r="CD116" s="161"/>
      <c r="CE116" s="161"/>
      <c r="CF116" s="161"/>
      <c r="CG116" s="161"/>
      <c r="CH116" s="161"/>
      <c r="CI116" s="161"/>
      <c r="CJ116" s="161"/>
      <c r="CK116" s="161"/>
      <c r="CL116" s="161"/>
      <c r="CM116" s="161"/>
      <c r="CN116" s="161"/>
      <c r="CO116" s="161"/>
      <c r="CP116" s="161"/>
      <c r="CQ116" s="161"/>
      <c r="CR116" s="161"/>
      <c r="CS116" s="161"/>
      <c r="CT116" s="161"/>
      <c r="CU116" s="161"/>
    </row>
    <row r="117" spans="2:99" s="148" customFormat="1">
      <c r="B117" s="5"/>
      <c r="C117" s="5"/>
      <c r="D117" s="6"/>
      <c r="E117" s="5"/>
      <c r="F117" s="5"/>
      <c r="G117" s="6"/>
      <c r="H117" s="5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/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  <c r="BI117" s="161"/>
      <c r="BJ117" s="161"/>
      <c r="BK117" s="161"/>
      <c r="BL117" s="161"/>
      <c r="BM117" s="161"/>
      <c r="BN117" s="161"/>
      <c r="BO117" s="161"/>
      <c r="BP117" s="161"/>
      <c r="BQ117" s="161"/>
      <c r="BR117" s="161"/>
      <c r="BS117" s="161"/>
      <c r="BT117" s="161"/>
      <c r="BU117" s="161"/>
      <c r="BV117" s="161"/>
      <c r="BW117" s="161"/>
      <c r="BX117" s="161"/>
      <c r="BY117" s="161"/>
      <c r="BZ117" s="161"/>
      <c r="CA117" s="161"/>
      <c r="CB117" s="161"/>
      <c r="CC117" s="161"/>
      <c r="CD117" s="161"/>
      <c r="CE117" s="161"/>
      <c r="CF117" s="161"/>
      <c r="CG117" s="161"/>
      <c r="CH117" s="161"/>
      <c r="CI117" s="161"/>
      <c r="CJ117" s="161"/>
      <c r="CK117" s="161"/>
      <c r="CL117" s="161"/>
      <c r="CM117" s="161"/>
      <c r="CN117" s="161"/>
      <c r="CO117" s="161"/>
      <c r="CP117" s="161"/>
      <c r="CQ117" s="161"/>
      <c r="CR117" s="161"/>
      <c r="CS117" s="161"/>
      <c r="CT117" s="161"/>
      <c r="CU117" s="161"/>
    </row>
    <row r="118" spans="2:99" s="148" customFormat="1">
      <c r="B118" s="5"/>
      <c r="C118" s="5"/>
      <c r="D118" s="6"/>
      <c r="E118" s="5"/>
      <c r="F118" s="5"/>
      <c r="G118" s="6"/>
      <c r="H118" s="5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/>
      <c r="AF118" s="161"/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  <c r="BI118" s="161"/>
      <c r="BJ118" s="161"/>
      <c r="BK118" s="161"/>
      <c r="BL118" s="161"/>
      <c r="BM118" s="161"/>
      <c r="BN118" s="161"/>
      <c r="BO118" s="161"/>
      <c r="BP118" s="161"/>
      <c r="BQ118" s="161"/>
      <c r="BR118" s="161"/>
      <c r="BS118" s="161"/>
      <c r="BT118" s="161"/>
      <c r="BU118" s="161"/>
      <c r="BV118" s="161"/>
      <c r="BW118" s="161"/>
      <c r="BX118" s="161"/>
      <c r="BY118" s="161"/>
      <c r="BZ118" s="161"/>
      <c r="CA118" s="161"/>
      <c r="CB118" s="161"/>
      <c r="CC118" s="161"/>
      <c r="CD118" s="161"/>
      <c r="CE118" s="161"/>
      <c r="CF118" s="161"/>
      <c r="CG118" s="161"/>
      <c r="CH118" s="161"/>
      <c r="CI118" s="161"/>
      <c r="CJ118" s="161"/>
      <c r="CK118" s="161"/>
      <c r="CL118" s="161"/>
      <c r="CM118" s="161"/>
      <c r="CN118" s="161"/>
      <c r="CO118" s="161"/>
      <c r="CP118" s="161"/>
      <c r="CQ118" s="161"/>
      <c r="CR118" s="161"/>
      <c r="CS118" s="161"/>
      <c r="CT118" s="161"/>
      <c r="CU118" s="161"/>
    </row>
    <row r="119" spans="2:99" s="148" customFormat="1">
      <c r="B119" s="5"/>
      <c r="C119" s="5"/>
      <c r="D119" s="6"/>
      <c r="E119" s="5"/>
      <c r="F119" s="5"/>
      <c r="G119" s="6"/>
      <c r="H119" s="5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61"/>
      <c r="AW119" s="161"/>
      <c r="AX119" s="161"/>
      <c r="AY119" s="161"/>
      <c r="AZ119" s="161"/>
      <c r="BA119" s="161"/>
      <c r="BB119" s="161"/>
      <c r="BC119" s="161"/>
      <c r="BD119" s="161"/>
      <c r="BE119" s="161"/>
      <c r="BF119" s="161"/>
      <c r="BG119" s="161"/>
      <c r="BH119" s="161"/>
      <c r="BI119" s="161"/>
      <c r="BJ119" s="161"/>
      <c r="BK119" s="161"/>
      <c r="BL119" s="161"/>
      <c r="BM119" s="161"/>
      <c r="BN119" s="161"/>
      <c r="BO119" s="161"/>
      <c r="BP119" s="161"/>
      <c r="BQ119" s="161"/>
      <c r="BR119" s="161"/>
      <c r="BS119" s="161"/>
      <c r="BT119" s="161"/>
      <c r="BU119" s="161"/>
      <c r="BV119" s="161"/>
      <c r="BW119" s="161"/>
      <c r="BX119" s="161"/>
      <c r="BY119" s="161"/>
      <c r="BZ119" s="161"/>
      <c r="CA119" s="161"/>
      <c r="CB119" s="161"/>
      <c r="CC119" s="161"/>
      <c r="CD119" s="161"/>
      <c r="CE119" s="161"/>
      <c r="CF119" s="161"/>
      <c r="CG119" s="161"/>
      <c r="CH119" s="161"/>
      <c r="CI119" s="161"/>
      <c r="CJ119" s="161"/>
      <c r="CK119" s="161"/>
      <c r="CL119" s="161"/>
      <c r="CM119" s="161"/>
      <c r="CN119" s="161"/>
      <c r="CO119" s="161"/>
      <c r="CP119" s="161"/>
      <c r="CQ119" s="161"/>
      <c r="CR119" s="161"/>
      <c r="CS119" s="161"/>
      <c r="CT119" s="161"/>
      <c r="CU119" s="161"/>
    </row>
    <row r="120" spans="2:99" s="148" customFormat="1">
      <c r="B120" s="5"/>
      <c r="C120" s="5"/>
      <c r="D120" s="6"/>
      <c r="E120" s="5"/>
      <c r="F120" s="5"/>
      <c r="G120" s="6"/>
      <c r="H120" s="5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  <c r="AF120" s="161"/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  <c r="BI120" s="161"/>
      <c r="BJ120" s="161"/>
      <c r="BK120" s="161"/>
      <c r="BL120" s="161"/>
      <c r="BM120" s="161"/>
      <c r="BN120" s="161"/>
      <c r="BO120" s="161"/>
      <c r="BP120" s="161"/>
      <c r="BQ120" s="161"/>
      <c r="BR120" s="161"/>
      <c r="BS120" s="161"/>
      <c r="BT120" s="161"/>
      <c r="BU120" s="161"/>
      <c r="BV120" s="161"/>
      <c r="BW120" s="161"/>
      <c r="BX120" s="161"/>
      <c r="BY120" s="161"/>
      <c r="BZ120" s="161"/>
      <c r="CA120" s="161"/>
      <c r="CB120" s="161"/>
      <c r="CC120" s="161"/>
      <c r="CD120" s="161"/>
      <c r="CE120" s="161"/>
      <c r="CF120" s="161"/>
      <c r="CG120" s="161"/>
      <c r="CH120" s="161"/>
      <c r="CI120" s="161"/>
      <c r="CJ120" s="161"/>
      <c r="CK120" s="161"/>
      <c r="CL120" s="161"/>
      <c r="CM120" s="161"/>
      <c r="CN120" s="161"/>
      <c r="CO120" s="161"/>
      <c r="CP120" s="161"/>
      <c r="CQ120" s="161"/>
      <c r="CR120" s="161"/>
      <c r="CS120" s="161"/>
      <c r="CT120" s="161"/>
      <c r="CU120" s="161"/>
    </row>
    <row r="121" spans="2:99" s="148" customFormat="1">
      <c r="B121" s="5"/>
      <c r="C121" s="5"/>
      <c r="D121" s="6"/>
      <c r="E121" s="5"/>
      <c r="F121" s="5"/>
      <c r="G121" s="6"/>
      <c r="H121" s="5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  <c r="BI121" s="161"/>
      <c r="BJ121" s="161"/>
      <c r="BK121" s="161"/>
      <c r="BL121" s="161"/>
      <c r="BM121" s="161"/>
      <c r="BN121" s="161"/>
      <c r="BO121" s="161"/>
      <c r="BP121" s="161"/>
      <c r="BQ121" s="161"/>
      <c r="BR121" s="161"/>
      <c r="BS121" s="161"/>
      <c r="BT121" s="161"/>
      <c r="BU121" s="161"/>
      <c r="BV121" s="161"/>
      <c r="BW121" s="161"/>
      <c r="BX121" s="161"/>
      <c r="BY121" s="161"/>
      <c r="BZ121" s="161"/>
      <c r="CA121" s="161"/>
      <c r="CB121" s="161"/>
      <c r="CC121" s="161"/>
      <c r="CD121" s="161"/>
      <c r="CE121" s="161"/>
      <c r="CF121" s="161"/>
      <c r="CG121" s="161"/>
      <c r="CH121" s="161"/>
      <c r="CI121" s="161"/>
      <c r="CJ121" s="161"/>
      <c r="CK121" s="161"/>
      <c r="CL121" s="161"/>
      <c r="CM121" s="161"/>
      <c r="CN121" s="161"/>
      <c r="CO121" s="161"/>
      <c r="CP121" s="161"/>
      <c r="CQ121" s="161"/>
      <c r="CR121" s="161"/>
      <c r="CS121" s="161"/>
      <c r="CT121" s="161"/>
      <c r="CU121" s="161"/>
    </row>
    <row r="122" spans="2:99" s="148" customFormat="1">
      <c r="B122" s="5"/>
      <c r="C122" s="5"/>
      <c r="D122" s="6"/>
      <c r="E122" s="5"/>
      <c r="F122" s="5"/>
      <c r="G122" s="6"/>
      <c r="H122" s="5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  <c r="AF122" s="161"/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  <c r="BI122" s="161"/>
      <c r="BJ122" s="161"/>
      <c r="BK122" s="161"/>
      <c r="BL122" s="161"/>
      <c r="BM122" s="161"/>
      <c r="BN122" s="161"/>
      <c r="BO122" s="161"/>
      <c r="BP122" s="161"/>
      <c r="BQ122" s="161"/>
      <c r="BR122" s="161"/>
      <c r="BS122" s="161"/>
      <c r="BT122" s="161"/>
      <c r="BU122" s="161"/>
      <c r="BV122" s="161"/>
      <c r="BW122" s="161"/>
      <c r="BX122" s="161"/>
      <c r="BY122" s="161"/>
      <c r="BZ122" s="161"/>
      <c r="CA122" s="161"/>
      <c r="CB122" s="161"/>
      <c r="CC122" s="161"/>
      <c r="CD122" s="161"/>
      <c r="CE122" s="161"/>
      <c r="CF122" s="161"/>
      <c r="CG122" s="161"/>
      <c r="CH122" s="161"/>
      <c r="CI122" s="161"/>
      <c r="CJ122" s="161"/>
      <c r="CK122" s="161"/>
      <c r="CL122" s="161"/>
      <c r="CM122" s="161"/>
      <c r="CN122" s="161"/>
      <c r="CO122" s="161"/>
      <c r="CP122" s="161"/>
      <c r="CQ122" s="161"/>
      <c r="CR122" s="161"/>
      <c r="CS122" s="161"/>
      <c r="CT122" s="161"/>
      <c r="CU122" s="161"/>
    </row>
    <row r="123" spans="2:99" s="148" customFormat="1">
      <c r="B123" s="5"/>
      <c r="C123" s="5"/>
      <c r="D123" s="6"/>
      <c r="E123" s="5"/>
      <c r="F123" s="5"/>
      <c r="G123" s="6"/>
      <c r="H123" s="5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  <c r="BI123" s="161"/>
      <c r="BJ123" s="161"/>
      <c r="BK123" s="161"/>
      <c r="BL123" s="161"/>
      <c r="BM123" s="161"/>
      <c r="BN123" s="161"/>
      <c r="BO123" s="161"/>
      <c r="BP123" s="161"/>
      <c r="BQ123" s="161"/>
      <c r="BR123" s="161"/>
      <c r="BS123" s="161"/>
      <c r="BT123" s="161"/>
      <c r="BU123" s="161"/>
      <c r="BV123" s="161"/>
      <c r="BW123" s="161"/>
      <c r="BX123" s="161"/>
      <c r="BY123" s="161"/>
      <c r="BZ123" s="161"/>
      <c r="CA123" s="161"/>
      <c r="CB123" s="161"/>
      <c r="CC123" s="161"/>
      <c r="CD123" s="161"/>
      <c r="CE123" s="161"/>
      <c r="CF123" s="161"/>
      <c r="CG123" s="161"/>
      <c r="CH123" s="161"/>
      <c r="CI123" s="161"/>
      <c r="CJ123" s="161"/>
      <c r="CK123" s="161"/>
      <c r="CL123" s="161"/>
      <c r="CM123" s="161"/>
      <c r="CN123" s="161"/>
      <c r="CO123" s="161"/>
      <c r="CP123" s="161"/>
      <c r="CQ123" s="161"/>
      <c r="CR123" s="161"/>
      <c r="CS123" s="161"/>
      <c r="CT123" s="161"/>
      <c r="CU123" s="161"/>
    </row>
    <row r="124" spans="2:99" s="148" customFormat="1">
      <c r="B124" s="5"/>
      <c r="C124" s="5"/>
      <c r="D124" s="6"/>
      <c r="E124" s="5"/>
      <c r="F124" s="5"/>
      <c r="G124" s="6"/>
      <c r="H124" s="5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  <c r="BI124" s="161"/>
      <c r="BJ124" s="161"/>
      <c r="BK124" s="161"/>
      <c r="BL124" s="161"/>
      <c r="BM124" s="161"/>
      <c r="BN124" s="161"/>
      <c r="BO124" s="161"/>
      <c r="BP124" s="161"/>
      <c r="BQ124" s="161"/>
      <c r="BR124" s="161"/>
      <c r="BS124" s="161"/>
      <c r="BT124" s="161"/>
      <c r="BU124" s="161"/>
      <c r="BV124" s="161"/>
      <c r="BW124" s="161"/>
      <c r="BX124" s="161"/>
      <c r="BY124" s="161"/>
      <c r="BZ124" s="161"/>
      <c r="CA124" s="161"/>
      <c r="CB124" s="161"/>
      <c r="CC124" s="161"/>
      <c r="CD124" s="161"/>
      <c r="CE124" s="161"/>
      <c r="CF124" s="161"/>
      <c r="CG124" s="161"/>
      <c r="CH124" s="161"/>
      <c r="CI124" s="161"/>
      <c r="CJ124" s="161"/>
      <c r="CK124" s="161"/>
      <c r="CL124" s="161"/>
      <c r="CM124" s="161"/>
      <c r="CN124" s="161"/>
      <c r="CO124" s="161"/>
      <c r="CP124" s="161"/>
      <c r="CQ124" s="161"/>
      <c r="CR124" s="161"/>
      <c r="CS124" s="161"/>
      <c r="CT124" s="161"/>
      <c r="CU124" s="161"/>
    </row>
    <row r="125" spans="2:99" s="148" customFormat="1">
      <c r="B125" s="5"/>
      <c r="C125" s="5"/>
      <c r="D125" s="6"/>
      <c r="E125" s="5"/>
      <c r="F125" s="5"/>
      <c r="G125" s="6"/>
      <c r="H125" s="5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/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  <c r="BI125" s="161"/>
      <c r="BJ125" s="161"/>
      <c r="BK125" s="161"/>
      <c r="BL125" s="161"/>
      <c r="BM125" s="161"/>
      <c r="BN125" s="161"/>
      <c r="BO125" s="161"/>
      <c r="BP125" s="161"/>
      <c r="BQ125" s="161"/>
      <c r="BR125" s="161"/>
      <c r="BS125" s="161"/>
      <c r="BT125" s="161"/>
      <c r="BU125" s="161"/>
      <c r="BV125" s="161"/>
      <c r="BW125" s="161"/>
      <c r="BX125" s="161"/>
      <c r="BY125" s="161"/>
      <c r="BZ125" s="161"/>
      <c r="CA125" s="161"/>
      <c r="CB125" s="161"/>
      <c r="CC125" s="161"/>
      <c r="CD125" s="161"/>
      <c r="CE125" s="161"/>
      <c r="CF125" s="161"/>
      <c r="CG125" s="161"/>
      <c r="CH125" s="161"/>
      <c r="CI125" s="161"/>
      <c r="CJ125" s="161"/>
      <c r="CK125" s="161"/>
      <c r="CL125" s="161"/>
      <c r="CM125" s="161"/>
      <c r="CN125" s="161"/>
      <c r="CO125" s="161"/>
      <c r="CP125" s="161"/>
      <c r="CQ125" s="161"/>
      <c r="CR125" s="161"/>
      <c r="CS125" s="161"/>
      <c r="CT125" s="161"/>
      <c r="CU125" s="161"/>
    </row>
    <row r="126" spans="2:99" s="148" customFormat="1">
      <c r="B126" s="5"/>
      <c r="C126" s="5"/>
      <c r="D126" s="6"/>
      <c r="E126" s="5"/>
      <c r="F126" s="5"/>
      <c r="G126" s="6"/>
      <c r="H126" s="5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  <c r="BI126" s="161"/>
      <c r="BJ126" s="161"/>
      <c r="BK126" s="161"/>
      <c r="BL126" s="161"/>
      <c r="BM126" s="161"/>
      <c r="BN126" s="161"/>
      <c r="BO126" s="161"/>
      <c r="BP126" s="161"/>
      <c r="BQ126" s="161"/>
      <c r="BR126" s="161"/>
      <c r="BS126" s="161"/>
      <c r="BT126" s="161"/>
      <c r="BU126" s="161"/>
      <c r="BV126" s="161"/>
      <c r="BW126" s="161"/>
      <c r="BX126" s="161"/>
      <c r="BY126" s="161"/>
      <c r="BZ126" s="161"/>
      <c r="CA126" s="161"/>
      <c r="CB126" s="161"/>
      <c r="CC126" s="161"/>
      <c r="CD126" s="161"/>
      <c r="CE126" s="161"/>
      <c r="CF126" s="161"/>
      <c r="CG126" s="161"/>
      <c r="CH126" s="161"/>
      <c r="CI126" s="161"/>
      <c r="CJ126" s="161"/>
      <c r="CK126" s="161"/>
      <c r="CL126" s="161"/>
      <c r="CM126" s="161"/>
      <c r="CN126" s="161"/>
      <c r="CO126" s="161"/>
      <c r="CP126" s="161"/>
      <c r="CQ126" s="161"/>
      <c r="CR126" s="161"/>
      <c r="CS126" s="161"/>
      <c r="CT126" s="161"/>
      <c r="CU126" s="161"/>
    </row>
    <row r="127" spans="2:99" s="148" customFormat="1">
      <c r="B127" s="5"/>
      <c r="C127" s="5"/>
      <c r="D127" s="6"/>
      <c r="E127" s="5"/>
      <c r="F127" s="5"/>
      <c r="G127" s="6"/>
      <c r="H127" s="5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  <c r="BI127" s="161"/>
      <c r="BJ127" s="161"/>
      <c r="BK127" s="161"/>
      <c r="BL127" s="161"/>
      <c r="BM127" s="161"/>
      <c r="BN127" s="161"/>
      <c r="BO127" s="161"/>
      <c r="BP127" s="161"/>
      <c r="BQ127" s="161"/>
      <c r="BR127" s="161"/>
      <c r="BS127" s="161"/>
      <c r="BT127" s="161"/>
      <c r="BU127" s="161"/>
      <c r="BV127" s="161"/>
      <c r="BW127" s="161"/>
      <c r="BX127" s="161"/>
      <c r="BY127" s="161"/>
      <c r="BZ127" s="161"/>
      <c r="CA127" s="161"/>
      <c r="CB127" s="161"/>
      <c r="CC127" s="161"/>
      <c r="CD127" s="161"/>
      <c r="CE127" s="161"/>
      <c r="CF127" s="161"/>
      <c r="CG127" s="161"/>
      <c r="CH127" s="161"/>
      <c r="CI127" s="161"/>
      <c r="CJ127" s="161"/>
      <c r="CK127" s="161"/>
      <c r="CL127" s="161"/>
      <c r="CM127" s="161"/>
      <c r="CN127" s="161"/>
      <c r="CO127" s="161"/>
      <c r="CP127" s="161"/>
      <c r="CQ127" s="161"/>
      <c r="CR127" s="161"/>
      <c r="CS127" s="161"/>
      <c r="CT127" s="161"/>
      <c r="CU127" s="161"/>
    </row>
    <row r="128" spans="2:99" s="148" customFormat="1">
      <c r="B128" s="5"/>
      <c r="C128" s="5"/>
      <c r="D128" s="6"/>
      <c r="E128" s="5"/>
      <c r="F128" s="5"/>
      <c r="G128" s="6"/>
      <c r="H128" s="5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  <c r="AF128" s="161"/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  <c r="BI128" s="161"/>
      <c r="BJ128" s="161"/>
      <c r="BK128" s="161"/>
      <c r="BL128" s="161"/>
      <c r="BM128" s="161"/>
      <c r="BN128" s="161"/>
      <c r="BO128" s="161"/>
      <c r="BP128" s="161"/>
      <c r="BQ128" s="161"/>
      <c r="BR128" s="161"/>
      <c r="BS128" s="161"/>
      <c r="BT128" s="161"/>
      <c r="BU128" s="161"/>
      <c r="BV128" s="161"/>
      <c r="BW128" s="161"/>
      <c r="BX128" s="161"/>
      <c r="BY128" s="161"/>
      <c r="BZ128" s="161"/>
      <c r="CA128" s="161"/>
      <c r="CB128" s="161"/>
      <c r="CC128" s="161"/>
      <c r="CD128" s="161"/>
      <c r="CE128" s="161"/>
      <c r="CF128" s="161"/>
      <c r="CG128" s="161"/>
      <c r="CH128" s="161"/>
      <c r="CI128" s="161"/>
      <c r="CJ128" s="161"/>
      <c r="CK128" s="161"/>
      <c r="CL128" s="161"/>
      <c r="CM128" s="161"/>
      <c r="CN128" s="161"/>
      <c r="CO128" s="161"/>
      <c r="CP128" s="161"/>
      <c r="CQ128" s="161"/>
      <c r="CR128" s="161"/>
      <c r="CS128" s="161"/>
      <c r="CT128" s="161"/>
      <c r="CU128" s="161"/>
    </row>
    <row r="129" spans="2:99" s="148" customFormat="1">
      <c r="B129" s="5"/>
      <c r="C129" s="5"/>
      <c r="D129" s="6"/>
      <c r="E129" s="5"/>
      <c r="F129" s="5"/>
      <c r="G129" s="6"/>
      <c r="H129" s="5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  <c r="AF129" s="161"/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1"/>
      <c r="AQ129" s="161"/>
      <c r="AR129" s="161"/>
      <c r="AS129" s="161"/>
      <c r="AT129" s="161"/>
      <c r="AU129" s="161"/>
      <c r="AV129" s="161"/>
      <c r="AW129" s="161"/>
      <c r="AX129" s="161"/>
      <c r="AY129" s="161"/>
      <c r="AZ129" s="161"/>
      <c r="BA129" s="161"/>
      <c r="BB129" s="161"/>
      <c r="BC129" s="161"/>
      <c r="BD129" s="161"/>
      <c r="BE129" s="161"/>
      <c r="BF129" s="161"/>
      <c r="BG129" s="161"/>
      <c r="BH129" s="161"/>
      <c r="BI129" s="161"/>
      <c r="BJ129" s="161"/>
      <c r="BK129" s="161"/>
      <c r="BL129" s="161"/>
      <c r="BM129" s="161"/>
      <c r="BN129" s="161"/>
      <c r="BO129" s="161"/>
      <c r="BP129" s="161"/>
      <c r="BQ129" s="161"/>
      <c r="BR129" s="161"/>
      <c r="BS129" s="161"/>
      <c r="BT129" s="161"/>
      <c r="BU129" s="161"/>
      <c r="BV129" s="161"/>
      <c r="BW129" s="161"/>
      <c r="BX129" s="161"/>
      <c r="BY129" s="161"/>
      <c r="BZ129" s="161"/>
      <c r="CA129" s="161"/>
      <c r="CB129" s="161"/>
      <c r="CC129" s="161"/>
      <c r="CD129" s="161"/>
      <c r="CE129" s="161"/>
      <c r="CF129" s="161"/>
      <c r="CG129" s="161"/>
      <c r="CH129" s="161"/>
      <c r="CI129" s="161"/>
      <c r="CJ129" s="161"/>
      <c r="CK129" s="161"/>
      <c r="CL129" s="161"/>
      <c r="CM129" s="161"/>
      <c r="CN129" s="161"/>
      <c r="CO129" s="161"/>
      <c r="CP129" s="161"/>
      <c r="CQ129" s="161"/>
      <c r="CR129" s="161"/>
      <c r="CS129" s="161"/>
      <c r="CT129" s="161"/>
      <c r="CU129" s="161"/>
    </row>
    <row r="130" spans="2:99" s="148" customFormat="1">
      <c r="B130" s="5"/>
      <c r="C130" s="5"/>
      <c r="D130" s="6"/>
      <c r="E130" s="5"/>
      <c r="F130" s="5"/>
      <c r="G130" s="6"/>
      <c r="H130" s="5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/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  <c r="BI130" s="161"/>
      <c r="BJ130" s="161"/>
      <c r="BK130" s="161"/>
      <c r="BL130" s="161"/>
      <c r="BM130" s="161"/>
      <c r="BN130" s="161"/>
      <c r="BO130" s="161"/>
      <c r="BP130" s="161"/>
      <c r="BQ130" s="161"/>
      <c r="BR130" s="161"/>
      <c r="BS130" s="161"/>
      <c r="BT130" s="161"/>
      <c r="BU130" s="161"/>
      <c r="BV130" s="161"/>
      <c r="BW130" s="161"/>
      <c r="BX130" s="161"/>
      <c r="BY130" s="161"/>
      <c r="BZ130" s="161"/>
      <c r="CA130" s="161"/>
      <c r="CB130" s="161"/>
      <c r="CC130" s="161"/>
      <c r="CD130" s="161"/>
      <c r="CE130" s="161"/>
      <c r="CF130" s="161"/>
      <c r="CG130" s="161"/>
      <c r="CH130" s="161"/>
      <c r="CI130" s="161"/>
      <c r="CJ130" s="161"/>
      <c r="CK130" s="161"/>
      <c r="CL130" s="161"/>
      <c r="CM130" s="161"/>
      <c r="CN130" s="161"/>
      <c r="CO130" s="161"/>
      <c r="CP130" s="161"/>
      <c r="CQ130" s="161"/>
      <c r="CR130" s="161"/>
      <c r="CS130" s="161"/>
      <c r="CT130" s="161"/>
      <c r="CU130" s="161"/>
    </row>
    <row r="131" spans="2:99" s="148" customFormat="1">
      <c r="B131" s="5"/>
      <c r="C131" s="5"/>
      <c r="D131" s="6"/>
      <c r="E131" s="5"/>
      <c r="F131" s="5"/>
      <c r="G131" s="6"/>
      <c r="H131" s="5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/>
      <c r="AF131" s="161"/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161"/>
      <c r="AV131" s="161"/>
      <c r="AW131" s="161"/>
      <c r="AX131" s="161"/>
      <c r="AY131" s="161"/>
      <c r="AZ131" s="161"/>
      <c r="BA131" s="161"/>
      <c r="BB131" s="161"/>
      <c r="BC131" s="161"/>
      <c r="BD131" s="161"/>
      <c r="BE131" s="161"/>
      <c r="BF131" s="161"/>
      <c r="BG131" s="161"/>
      <c r="BH131" s="161"/>
      <c r="BI131" s="161"/>
      <c r="BJ131" s="161"/>
      <c r="BK131" s="161"/>
      <c r="BL131" s="161"/>
      <c r="BM131" s="161"/>
      <c r="BN131" s="161"/>
      <c r="BO131" s="161"/>
      <c r="BP131" s="161"/>
      <c r="BQ131" s="161"/>
      <c r="BR131" s="161"/>
      <c r="BS131" s="161"/>
      <c r="BT131" s="161"/>
      <c r="BU131" s="161"/>
      <c r="BV131" s="161"/>
      <c r="BW131" s="161"/>
      <c r="BX131" s="161"/>
      <c r="BY131" s="161"/>
      <c r="BZ131" s="161"/>
      <c r="CA131" s="161"/>
      <c r="CB131" s="161"/>
      <c r="CC131" s="161"/>
      <c r="CD131" s="161"/>
      <c r="CE131" s="161"/>
      <c r="CF131" s="161"/>
      <c r="CG131" s="161"/>
      <c r="CH131" s="161"/>
      <c r="CI131" s="161"/>
      <c r="CJ131" s="161"/>
      <c r="CK131" s="161"/>
      <c r="CL131" s="161"/>
      <c r="CM131" s="161"/>
      <c r="CN131" s="161"/>
      <c r="CO131" s="161"/>
      <c r="CP131" s="161"/>
      <c r="CQ131" s="161"/>
      <c r="CR131" s="161"/>
      <c r="CS131" s="161"/>
      <c r="CT131" s="161"/>
      <c r="CU131" s="161"/>
    </row>
    <row r="132" spans="2:99" s="148" customFormat="1">
      <c r="B132" s="5"/>
      <c r="C132" s="5"/>
      <c r="D132" s="6"/>
      <c r="E132" s="5"/>
      <c r="F132" s="5"/>
      <c r="G132" s="6"/>
      <c r="H132" s="5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/>
      <c r="AF132" s="161"/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161"/>
      <c r="AV132" s="161"/>
      <c r="AW132" s="161"/>
      <c r="AX132" s="161"/>
      <c r="AY132" s="161"/>
      <c r="AZ132" s="161"/>
      <c r="BA132" s="161"/>
      <c r="BB132" s="161"/>
      <c r="BC132" s="161"/>
      <c r="BD132" s="161"/>
      <c r="BE132" s="161"/>
      <c r="BF132" s="161"/>
      <c r="BG132" s="161"/>
      <c r="BH132" s="161"/>
      <c r="BI132" s="161"/>
      <c r="BJ132" s="161"/>
      <c r="BK132" s="161"/>
      <c r="BL132" s="161"/>
      <c r="BM132" s="161"/>
      <c r="BN132" s="161"/>
      <c r="BO132" s="161"/>
      <c r="BP132" s="161"/>
      <c r="BQ132" s="161"/>
      <c r="BR132" s="161"/>
      <c r="BS132" s="161"/>
      <c r="BT132" s="161"/>
      <c r="BU132" s="161"/>
      <c r="BV132" s="161"/>
      <c r="BW132" s="161"/>
      <c r="BX132" s="161"/>
      <c r="BY132" s="161"/>
      <c r="BZ132" s="161"/>
      <c r="CA132" s="161"/>
      <c r="CB132" s="161"/>
      <c r="CC132" s="161"/>
      <c r="CD132" s="161"/>
      <c r="CE132" s="161"/>
      <c r="CF132" s="161"/>
      <c r="CG132" s="161"/>
      <c r="CH132" s="161"/>
      <c r="CI132" s="161"/>
      <c r="CJ132" s="161"/>
      <c r="CK132" s="161"/>
      <c r="CL132" s="161"/>
      <c r="CM132" s="161"/>
      <c r="CN132" s="161"/>
      <c r="CO132" s="161"/>
      <c r="CP132" s="161"/>
      <c r="CQ132" s="161"/>
      <c r="CR132" s="161"/>
      <c r="CS132" s="161"/>
      <c r="CT132" s="161"/>
      <c r="CU132" s="161"/>
    </row>
    <row r="133" spans="2:99" s="148" customFormat="1">
      <c r="B133" s="5"/>
      <c r="C133" s="5"/>
      <c r="D133" s="6"/>
      <c r="E133" s="5"/>
      <c r="F133" s="5"/>
      <c r="G133" s="6"/>
      <c r="H133" s="5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/>
      <c r="AF133" s="161"/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  <c r="BI133" s="161"/>
      <c r="BJ133" s="161"/>
      <c r="BK133" s="161"/>
      <c r="BL133" s="161"/>
      <c r="BM133" s="161"/>
      <c r="BN133" s="161"/>
      <c r="BO133" s="161"/>
      <c r="BP133" s="161"/>
      <c r="BQ133" s="161"/>
      <c r="BR133" s="161"/>
      <c r="BS133" s="161"/>
      <c r="BT133" s="161"/>
      <c r="BU133" s="161"/>
      <c r="BV133" s="161"/>
      <c r="BW133" s="161"/>
      <c r="BX133" s="161"/>
      <c r="BY133" s="161"/>
      <c r="BZ133" s="161"/>
      <c r="CA133" s="161"/>
      <c r="CB133" s="161"/>
      <c r="CC133" s="161"/>
      <c r="CD133" s="161"/>
      <c r="CE133" s="161"/>
      <c r="CF133" s="161"/>
      <c r="CG133" s="161"/>
      <c r="CH133" s="161"/>
      <c r="CI133" s="161"/>
      <c r="CJ133" s="161"/>
      <c r="CK133" s="161"/>
      <c r="CL133" s="161"/>
      <c r="CM133" s="161"/>
      <c r="CN133" s="161"/>
      <c r="CO133" s="161"/>
      <c r="CP133" s="161"/>
      <c r="CQ133" s="161"/>
      <c r="CR133" s="161"/>
      <c r="CS133" s="161"/>
      <c r="CT133" s="161"/>
      <c r="CU133" s="161"/>
    </row>
    <row r="134" spans="2:99" s="148" customFormat="1">
      <c r="B134" s="5"/>
      <c r="C134" s="5"/>
      <c r="D134" s="6"/>
      <c r="E134" s="5"/>
      <c r="F134" s="5"/>
      <c r="G134" s="6"/>
      <c r="H134" s="5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/>
      <c r="AF134" s="161"/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161"/>
      <c r="BE134" s="161"/>
      <c r="BF134" s="161"/>
      <c r="BG134" s="161"/>
      <c r="BH134" s="161"/>
      <c r="BI134" s="161"/>
      <c r="BJ134" s="161"/>
      <c r="BK134" s="161"/>
      <c r="BL134" s="161"/>
      <c r="BM134" s="161"/>
      <c r="BN134" s="161"/>
      <c r="BO134" s="161"/>
      <c r="BP134" s="161"/>
      <c r="BQ134" s="161"/>
      <c r="BR134" s="161"/>
      <c r="BS134" s="161"/>
      <c r="BT134" s="161"/>
      <c r="BU134" s="161"/>
      <c r="BV134" s="161"/>
      <c r="BW134" s="161"/>
      <c r="BX134" s="161"/>
      <c r="BY134" s="161"/>
      <c r="BZ134" s="161"/>
      <c r="CA134" s="161"/>
      <c r="CB134" s="161"/>
      <c r="CC134" s="161"/>
      <c r="CD134" s="161"/>
      <c r="CE134" s="161"/>
      <c r="CF134" s="161"/>
      <c r="CG134" s="161"/>
      <c r="CH134" s="161"/>
      <c r="CI134" s="161"/>
      <c r="CJ134" s="161"/>
      <c r="CK134" s="161"/>
      <c r="CL134" s="161"/>
      <c r="CM134" s="161"/>
      <c r="CN134" s="161"/>
      <c r="CO134" s="161"/>
      <c r="CP134" s="161"/>
      <c r="CQ134" s="161"/>
      <c r="CR134" s="161"/>
      <c r="CS134" s="161"/>
      <c r="CT134" s="161"/>
      <c r="CU134" s="161"/>
    </row>
    <row r="135" spans="2:99" s="148" customFormat="1">
      <c r="B135" s="5"/>
      <c r="C135" s="5"/>
      <c r="D135" s="6"/>
      <c r="E135" s="5"/>
      <c r="F135" s="5"/>
      <c r="G135" s="6"/>
      <c r="H135" s="5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/>
      <c r="AF135" s="161"/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1"/>
      <c r="BB135" s="161"/>
      <c r="BC135" s="161"/>
      <c r="BD135" s="161"/>
      <c r="BE135" s="161"/>
      <c r="BF135" s="161"/>
      <c r="BG135" s="161"/>
      <c r="BH135" s="161"/>
      <c r="BI135" s="161"/>
      <c r="BJ135" s="161"/>
      <c r="BK135" s="161"/>
      <c r="BL135" s="161"/>
      <c r="BM135" s="161"/>
      <c r="BN135" s="161"/>
      <c r="BO135" s="161"/>
      <c r="BP135" s="161"/>
      <c r="BQ135" s="161"/>
      <c r="BR135" s="161"/>
      <c r="BS135" s="161"/>
      <c r="BT135" s="161"/>
      <c r="BU135" s="161"/>
      <c r="BV135" s="161"/>
      <c r="BW135" s="161"/>
      <c r="BX135" s="161"/>
      <c r="BY135" s="161"/>
      <c r="BZ135" s="161"/>
      <c r="CA135" s="161"/>
      <c r="CB135" s="161"/>
      <c r="CC135" s="161"/>
      <c r="CD135" s="161"/>
      <c r="CE135" s="161"/>
      <c r="CF135" s="161"/>
      <c r="CG135" s="161"/>
      <c r="CH135" s="161"/>
      <c r="CI135" s="161"/>
      <c r="CJ135" s="161"/>
      <c r="CK135" s="161"/>
      <c r="CL135" s="161"/>
      <c r="CM135" s="161"/>
      <c r="CN135" s="161"/>
      <c r="CO135" s="161"/>
      <c r="CP135" s="161"/>
      <c r="CQ135" s="161"/>
      <c r="CR135" s="161"/>
      <c r="CS135" s="161"/>
      <c r="CT135" s="161"/>
      <c r="CU135" s="161"/>
    </row>
    <row r="136" spans="2:99" s="148" customFormat="1">
      <c r="B136" s="5"/>
      <c r="C136" s="5"/>
      <c r="D136" s="6"/>
      <c r="E136" s="5"/>
      <c r="F136" s="5"/>
      <c r="G136" s="6"/>
      <c r="H136" s="5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/>
      <c r="AF136" s="161"/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161"/>
      <c r="AV136" s="161"/>
      <c r="AW136" s="161"/>
      <c r="AX136" s="161"/>
      <c r="AY136" s="161"/>
      <c r="AZ136" s="161"/>
      <c r="BA136" s="161"/>
      <c r="BB136" s="161"/>
      <c r="BC136" s="161"/>
      <c r="BD136" s="161"/>
      <c r="BE136" s="161"/>
      <c r="BF136" s="161"/>
      <c r="BG136" s="161"/>
      <c r="BH136" s="161"/>
      <c r="BI136" s="161"/>
      <c r="BJ136" s="161"/>
      <c r="BK136" s="161"/>
      <c r="BL136" s="161"/>
      <c r="BM136" s="161"/>
      <c r="BN136" s="161"/>
      <c r="BO136" s="161"/>
      <c r="BP136" s="161"/>
      <c r="BQ136" s="161"/>
      <c r="BR136" s="161"/>
      <c r="BS136" s="161"/>
      <c r="BT136" s="161"/>
      <c r="BU136" s="161"/>
      <c r="BV136" s="161"/>
      <c r="BW136" s="161"/>
      <c r="BX136" s="161"/>
      <c r="BY136" s="161"/>
      <c r="BZ136" s="161"/>
      <c r="CA136" s="161"/>
      <c r="CB136" s="161"/>
      <c r="CC136" s="161"/>
      <c r="CD136" s="161"/>
      <c r="CE136" s="161"/>
      <c r="CF136" s="161"/>
      <c r="CG136" s="161"/>
      <c r="CH136" s="161"/>
      <c r="CI136" s="161"/>
      <c r="CJ136" s="161"/>
      <c r="CK136" s="161"/>
      <c r="CL136" s="161"/>
      <c r="CM136" s="161"/>
      <c r="CN136" s="161"/>
      <c r="CO136" s="161"/>
      <c r="CP136" s="161"/>
      <c r="CQ136" s="161"/>
      <c r="CR136" s="161"/>
      <c r="CS136" s="161"/>
      <c r="CT136" s="161"/>
      <c r="CU136" s="161"/>
    </row>
    <row r="137" spans="2:99" s="148" customFormat="1">
      <c r="B137" s="5"/>
      <c r="C137" s="5"/>
      <c r="D137" s="6"/>
      <c r="E137" s="5"/>
      <c r="F137" s="5"/>
      <c r="G137" s="6"/>
      <c r="H137" s="5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/>
      <c r="AF137" s="161"/>
      <c r="AG137" s="161"/>
      <c r="AH137" s="161"/>
      <c r="AI137" s="161"/>
      <c r="AJ137" s="161"/>
      <c r="AK137" s="161"/>
      <c r="AL137" s="161"/>
      <c r="AM137" s="161"/>
      <c r="AN137" s="161"/>
      <c r="AO137" s="161"/>
      <c r="AP137" s="161"/>
      <c r="AQ137" s="161"/>
      <c r="AR137" s="161"/>
      <c r="AS137" s="161"/>
      <c r="AT137" s="161"/>
      <c r="AU137" s="161"/>
      <c r="AV137" s="161"/>
      <c r="AW137" s="161"/>
      <c r="AX137" s="161"/>
      <c r="AY137" s="161"/>
      <c r="AZ137" s="161"/>
      <c r="BA137" s="161"/>
      <c r="BB137" s="161"/>
      <c r="BC137" s="161"/>
      <c r="BD137" s="161"/>
      <c r="BE137" s="161"/>
      <c r="BF137" s="161"/>
      <c r="BG137" s="161"/>
      <c r="BH137" s="161"/>
      <c r="BI137" s="161"/>
      <c r="BJ137" s="161"/>
      <c r="BK137" s="161"/>
      <c r="BL137" s="161"/>
      <c r="BM137" s="161"/>
      <c r="BN137" s="161"/>
      <c r="BO137" s="161"/>
      <c r="BP137" s="161"/>
      <c r="BQ137" s="161"/>
      <c r="BR137" s="161"/>
      <c r="BS137" s="161"/>
      <c r="BT137" s="161"/>
      <c r="BU137" s="161"/>
      <c r="BV137" s="161"/>
      <c r="BW137" s="161"/>
      <c r="BX137" s="161"/>
      <c r="BY137" s="161"/>
      <c r="BZ137" s="161"/>
      <c r="CA137" s="161"/>
      <c r="CB137" s="161"/>
      <c r="CC137" s="161"/>
      <c r="CD137" s="161"/>
      <c r="CE137" s="161"/>
      <c r="CF137" s="161"/>
      <c r="CG137" s="161"/>
      <c r="CH137" s="161"/>
      <c r="CI137" s="161"/>
      <c r="CJ137" s="161"/>
      <c r="CK137" s="161"/>
      <c r="CL137" s="161"/>
      <c r="CM137" s="161"/>
      <c r="CN137" s="161"/>
      <c r="CO137" s="161"/>
      <c r="CP137" s="161"/>
      <c r="CQ137" s="161"/>
      <c r="CR137" s="161"/>
      <c r="CS137" s="161"/>
      <c r="CT137" s="161"/>
      <c r="CU137" s="161"/>
    </row>
    <row r="138" spans="2:99" s="148" customFormat="1">
      <c r="B138" s="5"/>
      <c r="C138" s="5"/>
      <c r="D138" s="6"/>
      <c r="E138" s="5"/>
      <c r="F138" s="5"/>
      <c r="G138" s="6"/>
      <c r="H138" s="5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61"/>
      <c r="Z138" s="161"/>
      <c r="AA138" s="161"/>
      <c r="AB138" s="161"/>
      <c r="AC138" s="161"/>
      <c r="AD138" s="161"/>
      <c r="AE138" s="161"/>
      <c r="AF138" s="161"/>
      <c r="AG138" s="161"/>
      <c r="AH138" s="161"/>
      <c r="AI138" s="161"/>
      <c r="AJ138" s="161"/>
      <c r="AK138" s="161"/>
      <c r="AL138" s="161"/>
      <c r="AM138" s="161"/>
      <c r="AN138" s="161"/>
      <c r="AO138" s="161"/>
      <c r="AP138" s="161"/>
      <c r="AQ138" s="161"/>
      <c r="AR138" s="161"/>
      <c r="AS138" s="161"/>
      <c r="AT138" s="161"/>
      <c r="AU138" s="161"/>
      <c r="AV138" s="161"/>
      <c r="AW138" s="161"/>
      <c r="AX138" s="161"/>
      <c r="AY138" s="161"/>
      <c r="AZ138" s="161"/>
      <c r="BA138" s="161"/>
      <c r="BB138" s="161"/>
      <c r="BC138" s="161"/>
      <c r="BD138" s="161"/>
      <c r="BE138" s="161"/>
      <c r="BF138" s="161"/>
      <c r="BG138" s="161"/>
      <c r="BH138" s="161"/>
      <c r="BI138" s="161"/>
      <c r="BJ138" s="161"/>
      <c r="BK138" s="161"/>
      <c r="BL138" s="161"/>
      <c r="BM138" s="161"/>
      <c r="BN138" s="161"/>
      <c r="BO138" s="161"/>
      <c r="BP138" s="161"/>
      <c r="BQ138" s="161"/>
      <c r="BR138" s="161"/>
      <c r="BS138" s="161"/>
      <c r="BT138" s="161"/>
      <c r="BU138" s="161"/>
      <c r="BV138" s="161"/>
      <c r="BW138" s="161"/>
      <c r="BX138" s="161"/>
      <c r="BY138" s="161"/>
      <c r="BZ138" s="161"/>
      <c r="CA138" s="161"/>
      <c r="CB138" s="161"/>
      <c r="CC138" s="161"/>
      <c r="CD138" s="161"/>
      <c r="CE138" s="161"/>
      <c r="CF138" s="161"/>
      <c r="CG138" s="161"/>
      <c r="CH138" s="161"/>
      <c r="CI138" s="161"/>
      <c r="CJ138" s="161"/>
      <c r="CK138" s="161"/>
      <c r="CL138" s="161"/>
      <c r="CM138" s="161"/>
      <c r="CN138" s="161"/>
      <c r="CO138" s="161"/>
      <c r="CP138" s="161"/>
      <c r="CQ138" s="161"/>
      <c r="CR138" s="161"/>
      <c r="CS138" s="161"/>
      <c r="CT138" s="161"/>
      <c r="CU138" s="161"/>
    </row>
    <row r="139" spans="2:99" s="148" customFormat="1">
      <c r="B139" s="5"/>
      <c r="C139" s="5"/>
      <c r="D139" s="6"/>
      <c r="E139" s="5"/>
      <c r="F139" s="5"/>
      <c r="G139" s="6"/>
      <c r="H139" s="5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61"/>
      <c r="AF139" s="161"/>
      <c r="AG139" s="161"/>
      <c r="AH139" s="161"/>
      <c r="AI139" s="161"/>
      <c r="AJ139" s="161"/>
      <c r="AK139" s="161"/>
      <c r="AL139" s="161"/>
      <c r="AM139" s="161"/>
      <c r="AN139" s="161"/>
      <c r="AO139" s="161"/>
      <c r="AP139" s="161"/>
      <c r="AQ139" s="161"/>
      <c r="AR139" s="161"/>
      <c r="AS139" s="161"/>
      <c r="AT139" s="161"/>
      <c r="AU139" s="161"/>
      <c r="AV139" s="161"/>
      <c r="AW139" s="161"/>
      <c r="AX139" s="161"/>
      <c r="AY139" s="161"/>
      <c r="AZ139" s="161"/>
      <c r="BA139" s="161"/>
      <c r="BB139" s="161"/>
      <c r="BC139" s="161"/>
      <c r="BD139" s="161"/>
      <c r="BE139" s="161"/>
      <c r="BF139" s="161"/>
      <c r="BG139" s="161"/>
      <c r="BH139" s="161"/>
      <c r="BI139" s="161"/>
      <c r="BJ139" s="161"/>
      <c r="BK139" s="161"/>
      <c r="BL139" s="161"/>
      <c r="BM139" s="161"/>
      <c r="BN139" s="161"/>
      <c r="BO139" s="161"/>
      <c r="BP139" s="161"/>
      <c r="BQ139" s="161"/>
      <c r="BR139" s="161"/>
      <c r="BS139" s="161"/>
      <c r="BT139" s="161"/>
      <c r="BU139" s="161"/>
      <c r="BV139" s="161"/>
      <c r="BW139" s="161"/>
      <c r="BX139" s="161"/>
      <c r="BY139" s="161"/>
      <c r="BZ139" s="161"/>
      <c r="CA139" s="161"/>
      <c r="CB139" s="161"/>
      <c r="CC139" s="161"/>
      <c r="CD139" s="161"/>
      <c r="CE139" s="161"/>
      <c r="CF139" s="161"/>
      <c r="CG139" s="161"/>
      <c r="CH139" s="161"/>
      <c r="CI139" s="161"/>
      <c r="CJ139" s="161"/>
      <c r="CK139" s="161"/>
      <c r="CL139" s="161"/>
      <c r="CM139" s="161"/>
      <c r="CN139" s="161"/>
      <c r="CO139" s="161"/>
      <c r="CP139" s="161"/>
      <c r="CQ139" s="161"/>
      <c r="CR139" s="161"/>
      <c r="CS139" s="161"/>
      <c r="CT139" s="161"/>
      <c r="CU139" s="161"/>
    </row>
    <row r="140" spans="2:99" s="148" customFormat="1">
      <c r="B140" s="5"/>
      <c r="C140" s="5"/>
      <c r="D140" s="6"/>
      <c r="E140" s="5"/>
      <c r="F140" s="5"/>
      <c r="G140" s="6"/>
      <c r="H140" s="5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61"/>
      <c r="AF140" s="161"/>
      <c r="AG140" s="161"/>
      <c r="AH140" s="161"/>
      <c r="AI140" s="161"/>
      <c r="AJ140" s="161"/>
      <c r="AK140" s="161"/>
      <c r="AL140" s="161"/>
      <c r="AM140" s="161"/>
      <c r="AN140" s="161"/>
      <c r="AO140" s="161"/>
      <c r="AP140" s="161"/>
      <c r="AQ140" s="161"/>
      <c r="AR140" s="161"/>
      <c r="AS140" s="161"/>
      <c r="AT140" s="161"/>
      <c r="AU140" s="161"/>
      <c r="AV140" s="161"/>
      <c r="AW140" s="161"/>
      <c r="AX140" s="161"/>
      <c r="AY140" s="161"/>
      <c r="AZ140" s="161"/>
      <c r="BA140" s="161"/>
      <c r="BB140" s="161"/>
      <c r="BC140" s="161"/>
      <c r="BD140" s="161"/>
      <c r="BE140" s="161"/>
      <c r="BF140" s="161"/>
      <c r="BG140" s="161"/>
      <c r="BH140" s="161"/>
      <c r="BI140" s="161"/>
      <c r="BJ140" s="161"/>
      <c r="BK140" s="161"/>
      <c r="BL140" s="161"/>
      <c r="BM140" s="161"/>
      <c r="BN140" s="161"/>
      <c r="BO140" s="161"/>
      <c r="BP140" s="161"/>
      <c r="BQ140" s="161"/>
      <c r="BR140" s="161"/>
      <c r="BS140" s="161"/>
      <c r="BT140" s="161"/>
      <c r="BU140" s="161"/>
      <c r="BV140" s="161"/>
      <c r="BW140" s="161"/>
      <c r="BX140" s="161"/>
      <c r="BY140" s="161"/>
      <c r="BZ140" s="161"/>
      <c r="CA140" s="161"/>
      <c r="CB140" s="161"/>
      <c r="CC140" s="161"/>
      <c r="CD140" s="161"/>
      <c r="CE140" s="161"/>
      <c r="CF140" s="161"/>
      <c r="CG140" s="161"/>
      <c r="CH140" s="161"/>
      <c r="CI140" s="161"/>
      <c r="CJ140" s="161"/>
      <c r="CK140" s="161"/>
      <c r="CL140" s="161"/>
      <c r="CM140" s="161"/>
      <c r="CN140" s="161"/>
      <c r="CO140" s="161"/>
      <c r="CP140" s="161"/>
      <c r="CQ140" s="161"/>
      <c r="CR140" s="161"/>
      <c r="CS140" s="161"/>
      <c r="CT140" s="161"/>
      <c r="CU140" s="161"/>
    </row>
    <row r="141" spans="2:99" s="148" customFormat="1">
      <c r="B141" s="5"/>
      <c r="C141" s="5"/>
      <c r="D141" s="6"/>
      <c r="E141" s="5"/>
      <c r="F141" s="5"/>
      <c r="G141" s="6"/>
      <c r="H141" s="5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61"/>
      <c r="AF141" s="161"/>
      <c r="AG141" s="161"/>
      <c r="AH141" s="161"/>
      <c r="AI141" s="161"/>
      <c r="AJ141" s="161"/>
      <c r="AK141" s="161"/>
      <c r="AL141" s="161"/>
      <c r="AM141" s="161"/>
      <c r="AN141" s="161"/>
      <c r="AO141" s="161"/>
      <c r="AP141" s="161"/>
      <c r="AQ141" s="161"/>
      <c r="AR141" s="161"/>
      <c r="AS141" s="161"/>
      <c r="AT141" s="161"/>
      <c r="AU141" s="161"/>
      <c r="AV141" s="161"/>
      <c r="AW141" s="161"/>
      <c r="AX141" s="161"/>
      <c r="AY141" s="161"/>
      <c r="AZ141" s="161"/>
      <c r="BA141" s="161"/>
      <c r="BB141" s="161"/>
      <c r="BC141" s="161"/>
      <c r="BD141" s="161"/>
      <c r="BE141" s="161"/>
      <c r="BF141" s="161"/>
      <c r="BG141" s="161"/>
      <c r="BH141" s="161"/>
      <c r="BI141" s="161"/>
      <c r="BJ141" s="161"/>
      <c r="BK141" s="161"/>
      <c r="BL141" s="161"/>
      <c r="BM141" s="161"/>
      <c r="BN141" s="161"/>
      <c r="BO141" s="161"/>
      <c r="BP141" s="161"/>
      <c r="BQ141" s="161"/>
      <c r="BR141" s="161"/>
      <c r="BS141" s="161"/>
      <c r="BT141" s="161"/>
      <c r="BU141" s="161"/>
      <c r="BV141" s="161"/>
      <c r="BW141" s="161"/>
      <c r="BX141" s="161"/>
      <c r="BY141" s="161"/>
      <c r="BZ141" s="161"/>
      <c r="CA141" s="161"/>
      <c r="CB141" s="161"/>
      <c r="CC141" s="161"/>
      <c r="CD141" s="161"/>
      <c r="CE141" s="161"/>
      <c r="CF141" s="161"/>
      <c r="CG141" s="161"/>
      <c r="CH141" s="161"/>
      <c r="CI141" s="161"/>
      <c r="CJ141" s="161"/>
      <c r="CK141" s="161"/>
      <c r="CL141" s="161"/>
      <c r="CM141" s="161"/>
      <c r="CN141" s="161"/>
      <c r="CO141" s="161"/>
      <c r="CP141" s="161"/>
      <c r="CQ141" s="161"/>
      <c r="CR141" s="161"/>
      <c r="CS141" s="161"/>
      <c r="CT141" s="161"/>
      <c r="CU141" s="161"/>
    </row>
    <row r="142" spans="2:99" s="148" customFormat="1">
      <c r="B142" s="5"/>
      <c r="C142" s="5"/>
      <c r="D142" s="6"/>
      <c r="E142" s="5"/>
      <c r="F142" s="5"/>
      <c r="G142" s="6"/>
      <c r="H142" s="5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61"/>
      <c r="Z142" s="161"/>
      <c r="AA142" s="161"/>
      <c r="AB142" s="161"/>
      <c r="AC142" s="161"/>
      <c r="AD142" s="161"/>
      <c r="AE142" s="161"/>
      <c r="AF142" s="161"/>
      <c r="AG142" s="161"/>
      <c r="AH142" s="161"/>
      <c r="AI142" s="161"/>
      <c r="AJ142" s="161"/>
      <c r="AK142" s="161"/>
      <c r="AL142" s="161"/>
      <c r="AM142" s="161"/>
      <c r="AN142" s="161"/>
      <c r="AO142" s="161"/>
      <c r="AP142" s="161"/>
      <c r="AQ142" s="161"/>
      <c r="AR142" s="161"/>
      <c r="AS142" s="161"/>
      <c r="AT142" s="161"/>
      <c r="AU142" s="161"/>
      <c r="AV142" s="161"/>
      <c r="AW142" s="161"/>
      <c r="AX142" s="161"/>
      <c r="AY142" s="161"/>
      <c r="AZ142" s="161"/>
      <c r="BA142" s="161"/>
      <c r="BB142" s="161"/>
      <c r="BC142" s="161"/>
      <c r="BD142" s="161"/>
      <c r="BE142" s="161"/>
      <c r="BF142" s="161"/>
      <c r="BG142" s="161"/>
      <c r="BH142" s="161"/>
      <c r="BI142" s="161"/>
      <c r="BJ142" s="161"/>
      <c r="BK142" s="161"/>
      <c r="BL142" s="161"/>
      <c r="BM142" s="161"/>
      <c r="BN142" s="161"/>
      <c r="BO142" s="161"/>
      <c r="BP142" s="161"/>
      <c r="BQ142" s="161"/>
      <c r="BR142" s="161"/>
      <c r="BS142" s="161"/>
      <c r="BT142" s="161"/>
      <c r="BU142" s="161"/>
      <c r="BV142" s="161"/>
      <c r="BW142" s="161"/>
      <c r="BX142" s="161"/>
      <c r="BY142" s="161"/>
      <c r="BZ142" s="161"/>
      <c r="CA142" s="161"/>
      <c r="CB142" s="161"/>
      <c r="CC142" s="161"/>
      <c r="CD142" s="161"/>
      <c r="CE142" s="161"/>
      <c r="CF142" s="161"/>
      <c r="CG142" s="161"/>
      <c r="CH142" s="161"/>
      <c r="CI142" s="161"/>
      <c r="CJ142" s="161"/>
      <c r="CK142" s="161"/>
      <c r="CL142" s="161"/>
      <c r="CM142" s="161"/>
      <c r="CN142" s="161"/>
      <c r="CO142" s="161"/>
      <c r="CP142" s="161"/>
      <c r="CQ142" s="161"/>
      <c r="CR142" s="161"/>
      <c r="CS142" s="161"/>
      <c r="CT142" s="161"/>
      <c r="CU142" s="161"/>
    </row>
    <row r="143" spans="2:99" s="148" customFormat="1">
      <c r="B143" s="5"/>
      <c r="C143" s="5"/>
      <c r="D143" s="6"/>
      <c r="E143" s="5"/>
      <c r="F143" s="5"/>
      <c r="G143" s="6"/>
      <c r="H143" s="5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61"/>
      <c r="Z143" s="161"/>
      <c r="AA143" s="161"/>
      <c r="AB143" s="161"/>
      <c r="AC143" s="161"/>
      <c r="AD143" s="161"/>
      <c r="AE143" s="161"/>
      <c r="AF143" s="161"/>
      <c r="AG143" s="161"/>
      <c r="AH143" s="161"/>
      <c r="AI143" s="161"/>
      <c r="AJ143" s="161"/>
      <c r="AK143" s="161"/>
      <c r="AL143" s="161"/>
      <c r="AM143" s="161"/>
      <c r="AN143" s="161"/>
      <c r="AO143" s="161"/>
      <c r="AP143" s="161"/>
      <c r="AQ143" s="161"/>
      <c r="AR143" s="161"/>
      <c r="AS143" s="161"/>
      <c r="AT143" s="161"/>
      <c r="AU143" s="161"/>
      <c r="AV143" s="161"/>
      <c r="AW143" s="161"/>
      <c r="AX143" s="161"/>
      <c r="AY143" s="161"/>
      <c r="AZ143" s="161"/>
      <c r="BA143" s="161"/>
      <c r="BB143" s="161"/>
      <c r="BC143" s="161"/>
      <c r="BD143" s="161"/>
      <c r="BE143" s="161"/>
      <c r="BF143" s="161"/>
      <c r="BG143" s="161"/>
      <c r="BH143" s="161"/>
      <c r="BI143" s="161"/>
      <c r="BJ143" s="161"/>
      <c r="BK143" s="161"/>
      <c r="BL143" s="161"/>
      <c r="BM143" s="161"/>
      <c r="BN143" s="161"/>
      <c r="BO143" s="161"/>
      <c r="BP143" s="161"/>
      <c r="BQ143" s="161"/>
      <c r="BR143" s="161"/>
      <c r="BS143" s="161"/>
      <c r="BT143" s="161"/>
      <c r="BU143" s="161"/>
      <c r="BV143" s="161"/>
      <c r="BW143" s="161"/>
      <c r="BX143" s="161"/>
      <c r="BY143" s="161"/>
      <c r="BZ143" s="161"/>
      <c r="CA143" s="161"/>
      <c r="CB143" s="161"/>
      <c r="CC143" s="161"/>
      <c r="CD143" s="161"/>
      <c r="CE143" s="161"/>
      <c r="CF143" s="161"/>
      <c r="CG143" s="161"/>
      <c r="CH143" s="161"/>
      <c r="CI143" s="161"/>
      <c r="CJ143" s="161"/>
      <c r="CK143" s="161"/>
      <c r="CL143" s="161"/>
      <c r="CM143" s="161"/>
      <c r="CN143" s="161"/>
      <c r="CO143" s="161"/>
      <c r="CP143" s="161"/>
      <c r="CQ143" s="161"/>
      <c r="CR143" s="161"/>
      <c r="CS143" s="161"/>
      <c r="CT143" s="161"/>
      <c r="CU143" s="161"/>
    </row>
    <row r="144" spans="2:99" s="148" customFormat="1">
      <c r="B144" s="5"/>
      <c r="C144" s="5"/>
      <c r="D144" s="6"/>
      <c r="E144" s="5"/>
      <c r="F144" s="5"/>
      <c r="G144" s="6"/>
      <c r="H144" s="5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/>
      <c r="AF144" s="161"/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61"/>
      <c r="AQ144" s="161"/>
      <c r="AR144" s="161"/>
      <c r="AS144" s="161"/>
      <c r="AT144" s="161"/>
      <c r="AU144" s="161"/>
      <c r="AV144" s="161"/>
      <c r="AW144" s="161"/>
      <c r="AX144" s="161"/>
      <c r="AY144" s="161"/>
      <c r="AZ144" s="161"/>
      <c r="BA144" s="161"/>
      <c r="BB144" s="161"/>
      <c r="BC144" s="161"/>
      <c r="BD144" s="161"/>
      <c r="BE144" s="161"/>
      <c r="BF144" s="161"/>
      <c r="BG144" s="161"/>
      <c r="BH144" s="161"/>
      <c r="BI144" s="161"/>
      <c r="BJ144" s="161"/>
      <c r="BK144" s="161"/>
      <c r="BL144" s="161"/>
      <c r="BM144" s="161"/>
      <c r="BN144" s="161"/>
      <c r="BO144" s="161"/>
      <c r="BP144" s="161"/>
      <c r="BQ144" s="161"/>
      <c r="BR144" s="161"/>
      <c r="BS144" s="161"/>
      <c r="BT144" s="161"/>
      <c r="BU144" s="161"/>
      <c r="BV144" s="161"/>
      <c r="BW144" s="161"/>
      <c r="BX144" s="161"/>
      <c r="BY144" s="161"/>
      <c r="BZ144" s="161"/>
      <c r="CA144" s="161"/>
      <c r="CB144" s="161"/>
      <c r="CC144" s="161"/>
      <c r="CD144" s="161"/>
      <c r="CE144" s="161"/>
      <c r="CF144" s="161"/>
      <c r="CG144" s="161"/>
      <c r="CH144" s="161"/>
      <c r="CI144" s="161"/>
      <c r="CJ144" s="161"/>
      <c r="CK144" s="161"/>
      <c r="CL144" s="161"/>
      <c r="CM144" s="161"/>
      <c r="CN144" s="161"/>
      <c r="CO144" s="161"/>
      <c r="CP144" s="161"/>
      <c r="CQ144" s="161"/>
      <c r="CR144" s="161"/>
      <c r="CS144" s="161"/>
      <c r="CT144" s="161"/>
      <c r="CU144" s="161"/>
    </row>
    <row r="145" spans="2:99" s="148" customFormat="1">
      <c r="B145" s="5"/>
      <c r="C145" s="5"/>
      <c r="D145" s="6"/>
      <c r="E145" s="5"/>
      <c r="F145" s="5"/>
      <c r="G145" s="6"/>
      <c r="H145" s="5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61"/>
      <c r="Z145" s="161"/>
      <c r="AA145" s="161"/>
      <c r="AB145" s="161"/>
      <c r="AC145" s="161"/>
      <c r="AD145" s="161"/>
      <c r="AE145" s="161"/>
      <c r="AF145" s="161"/>
      <c r="AG145" s="161"/>
      <c r="AH145" s="161"/>
      <c r="AI145" s="161"/>
      <c r="AJ145" s="161"/>
      <c r="AK145" s="161"/>
      <c r="AL145" s="161"/>
      <c r="AM145" s="161"/>
      <c r="AN145" s="161"/>
      <c r="AO145" s="161"/>
      <c r="AP145" s="161"/>
      <c r="AQ145" s="161"/>
      <c r="AR145" s="161"/>
      <c r="AS145" s="161"/>
      <c r="AT145" s="161"/>
      <c r="AU145" s="161"/>
      <c r="AV145" s="161"/>
      <c r="AW145" s="161"/>
      <c r="AX145" s="161"/>
      <c r="AY145" s="161"/>
      <c r="AZ145" s="161"/>
      <c r="BA145" s="161"/>
      <c r="BB145" s="161"/>
      <c r="BC145" s="161"/>
      <c r="BD145" s="161"/>
      <c r="BE145" s="161"/>
      <c r="BF145" s="161"/>
      <c r="BG145" s="161"/>
      <c r="BH145" s="161"/>
      <c r="BI145" s="161"/>
      <c r="BJ145" s="161"/>
      <c r="BK145" s="161"/>
      <c r="BL145" s="161"/>
      <c r="BM145" s="161"/>
      <c r="BN145" s="161"/>
      <c r="BO145" s="161"/>
      <c r="BP145" s="161"/>
      <c r="BQ145" s="161"/>
      <c r="BR145" s="161"/>
      <c r="BS145" s="161"/>
      <c r="BT145" s="161"/>
      <c r="BU145" s="161"/>
      <c r="BV145" s="161"/>
      <c r="BW145" s="161"/>
      <c r="BX145" s="161"/>
      <c r="BY145" s="161"/>
      <c r="BZ145" s="161"/>
      <c r="CA145" s="161"/>
      <c r="CB145" s="161"/>
      <c r="CC145" s="161"/>
      <c r="CD145" s="161"/>
      <c r="CE145" s="161"/>
      <c r="CF145" s="161"/>
      <c r="CG145" s="161"/>
      <c r="CH145" s="161"/>
      <c r="CI145" s="161"/>
      <c r="CJ145" s="161"/>
      <c r="CK145" s="161"/>
      <c r="CL145" s="161"/>
      <c r="CM145" s="161"/>
      <c r="CN145" s="161"/>
      <c r="CO145" s="161"/>
      <c r="CP145" s="161"/>
      <c r="CQ145" s="161"/>
      <c r="CR145" s="161"/>
      <c r="CS145" s="161"/>
      <c r="CT145" s="161"/>
      <c r="CU145" s="161"/>
    </row>
    <row r="146" spans="2:99" s="148" customFormat="1">
      <c r="B146" s="5"/>
      <c r="C146" s="5"/>
      <c r="D146" s="6"/>
      <c r="E146" s="5"/>
      <c r="F146" s="5"/>
      <c r="G146" s="6"/>
      <c r="H146" s="5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61"/>
      <c r="Z146" s="161"/>
      <c r="AA146" s="161"/>
      <c r="AB146" s="161"/>
      <c r="AC146" s="161"/>
      <c r="AD146" s="161"/>
      <c r="AE146" s="161"/>
      <c r="AF146" s="161"/>
      <c r="AG146" s="161"/>
      <c r="AH146" s="161"/>
      <c r="AI146" s="161"/>
      <c r="AJ146" s="161"/>
      <c r="AK146" s="161"/>
      <c r="AL146" s="161"/>
      <c r="AM146" s="161"/>
      <c r="AN146" s="161"/>
      <c r="AO146" s="161"/>
      <c r="AP146" s="161"/>
      <c r="AQ146" s="161"/>
      <c r="AR146" s="161"/>
      <c r="AS146" s="161"/>
      <c r="AT146" s="161"/>
      <c r="AU146" s="161"/>
      <c r="AV146" s="161"/>
      <c r="AW146" s="161"/>
      <c r="AX146" s="161"/>
      <c r="AY146" s="161"/>
      <c r="AZ146" s="161"/>
      <c r="BA146" s="161"/>
      <c r="BB146" s="161"/>
      <c r="BC146" s="161"/>
      <c r="BD146" s="161"/>
      <c r="BE146" s="161"/>
      <c r="BF146" s="161"/>
      <c r="BG146" s="161"/>
      <c r="BH146" s="161"/>
      <c r="BI146" s="161"/>
      <c r="BJ146" s="161"/>
      <c r="BK146" s="161"/>
      <c r="BL146" s="161"/>
      <c r="BM146" s="161"/>
      <c r="BN146" s="161"/>
      <c r="BO146" s="161"/>
      <c r="BP146" s="161"/>
      <c r="BQ146" s="161"/>
      <c r="BR146" s="161"/>
      <c r="BS146" s="161"/>
      <c r="BT146" s="161"/>
      <c r="BU146" s="161"/>
      <c r="BV146" s="161"/>
      <c r="BW146" s="161"/>
      <c r="BX146" s="161"/>
      <c r="BY146" s="161"/>
      <c r="BZ146" s="161"/>
      <c r="CA146" s="161"/>
      <c r="CB146" s="161"/>
      <c r="CC146" s="161"/>
      <c r="CD146" s="161"/>
      <c r="CE146" s="161"/>
      <c r="CF146" s="161"/>
      <c r="CG146" s="161"/>
      <c r="CH146" s="161"/>
      <c r="CI146" s="161"/>
      <c r="CJ146" s="161"/>
      <c r="CK146" s="161"/>
      <c r="CL146" s="161"/>
      <c r="CM146" s="161"/>
      <c r="CN146" s="161"/>
      <c r="CO146" s="161"/>
      <c r="CP146" s="161"/>
      <c r="CQ146" s="161"/>
      <c r="CR146" s="161"/>
      <c r="CS146" s="161"/>
      <c r="CT146" s="161"/>
      <c r="CU146" s="161"/>
    </row>
    <row r="147" spans="2:99" s="148" customFormat="1">
      <c r="B147" s="5"/>
      <c r="C147" s="5"/>
      <c r="D147" s="6"/>
      <c r="E147" s="5"/>
      <c r="F147" s="5"/>
      <c r="G147" s="6"/>
      <c r="H147" s="5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61"/>
      <c r="Z147" s="161"/>
      <c r="AA147" s="161"/>
      <c r="AB147" s="161"/>
      <c r="AC147" s="161"/>
      <c r="AD147" s="161"/>
      <c r="AE147" s="161"/>
      <c r="AF147" s="161"/>
      <c r="AG147" s="161"/>
      <c r="AH147" s="161"/>
      <c r="AI147" s="161"/>
      <c r="AJ147" s="161"/>
      <c r="AK147" s="161"/>
      <c r="AL147" s="161"/>
      <c r="AM147" s="161"/>
      <c r="AN147" s="161"/>
      <c r="AO147" s="161"/>
      <c r="AP147" s="161"/>
      <c r="AQ147" s="161"/>
      <c r="AR147" s="161"/>
      <c r="AS147" s="161"/>
      <c r="AT147" s="161"/>
      <c r="AU147" s="161"/>
      <c r="AV147" s="161"/>
      <c r="AW147" s="161"/>
      <c r="AX147" s="161"/>
      <c r="AY147" s="161"/>
      <c r="AZ147" s="161"/>
      <c r="BA147" s="161"/>
      <c r="BB147" s="161"/>
      <c r="BC147" s="161"/>
      <c r="BD147" s="161"/>
      <c r="BE147" s="161"/>
      <c r="BF147" s="161"/>
      <c r="BG147" s="161"/>
      <c r="BH147" s="161"/>
      <c r="BI147" s="161"/>
      <c r="BJ147" s="161"/>
      <c r="BK147" s="161"/>
      <c r="BL147" s="161"/>
      <c r="BM147" s="161"/>
      <c r="BN147" s="161"/>
      <c r="BO147" s="161"/>
      <c r="BP147" s="161"/>
      <c r="BQ147" s="161"/>
      <c r="BR147" s="161"/>
      <c r="BS147" s="161"/>
      <c r="BT147" s="161"/>
      <c r="BU147" s="161"/>
      <c r="BV147" s="161"/>
      <c r="BW147" s="161"/>
      <c r="BX147" s="161"/>
      <c r="BY147" s="161"/>
      <c r="BZ147" s="161"/>
      <c r="CA147" s="161"/>
      <c r="CB147" s="161"/>
      <c r="CC147" s="161"/>
      <c r="CD147" s="161"/>
      <c r="CE147" s="161"/>
      <c r="CF147" s="161"/>
      <c r="CG147" s="161"/>
      <c r="CH147" s="161"/>
      <c r="CI147" s="161"/>
      <c r="CJ147" s="161"/>
      <c r="CK147" s="161"/>
      <c r="CL147" s="161"/>
      <c r="CM147" s="161"/>
      <c r="CN147" s="161"/>
      <c r="CO147" s="161"/>
      <c r="CP147" s="161"/>
      <c r="CQ147" s="161"/>
      <c r="CR147" s="161"/>
      <c r="CS147" s="161"/>
      <c r="CT147" s="161"/>
      <c r="CU147" s="161"/>
    </row>
    <row r="148" spans="2:99" s="148" customFormat="1">
      <c r="B148" s="5"/>
      <c r="C148" s="5"/>
      <c r="D148" s="6"/>
      <c r="E148" s="5"/>
      <c r="F148" s="5"/>
      <c r="G148" s="6"/>
      <c r="H148" s="5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61"/>
      <c r="Z148" s="161"/>
      <c r="AA148" s="161"/>
      <c r="AB148" s="161"/>
      <c r="AC148" s="161"/>
      <c r="AD148" s="161"/>
      <c r="AE148" s="161"/>
      <c r="AF148" s="161"/>
      <c r="AG148" s="161"/>
      <c r="AH148" s="161"/>
      <c r="AI148" s="161"/>
      <c r="AJ148" s="161"/>
      <c r="AK148" s="161"/>
      <c r="AL148" s="161"/>
      <c r="AM148" s="161"/>
      <c r="AN148" s="161"/>
      <c r="AO148" s="161"/>
      <c r="AP148" s="161"/>
      <c r="AQ148" s="161"/>
      <c r="AR148" s="161"/>
      <c r="AS148" s="161"/>
      <c r="AT148" s="161"/>
      <c r="AU148" s="161"/>
      <c r="AV148" s="161"/>
      <c r="AW148" s="161"/>
      <c r="AX148" s="161"/>
      <c r="AY148" s="161"/>
      <c r="AZ148" s="161"/>
      <c r="BA148" s="161"/>
      <c r="BB148" s="161"/>
      <c r="BC148" s="161"/>
      <c r="BD148" s="161"/>
      <c r="BE148" s="161"/>
      <c r="BF148" s="161"/>
      <c r="BG148" s="161"/>
      <c r="BH148" s="161"/>
      <c r="BI148" s="161"/>
      <c r="BJ148" s="161"/>
      <c r="BK148" s="161"/>
      <c r="BL148" s="161"/>
      <c r="BM148" s="161"/>
      <c r="BN148" s="161"/>
      <c r="BO148" s="161"/>
      <c r="BP148" s="161"/>
      <c r="BQ148" s="161"/>
      <c r="BR148" s="161"/>
      <c r="BS148" s="161"/>
      <c r="BT148" s="161"/>
      <c r="BU148" s="161"/>
      <c r="BV148" s="161"/>
      <c r="BW148" s="161"/>
      <c r="BX148" s="161"/>
      <c r="BY148" s="161"/>
      <c r="BZ148" s="161"/>
      <c r="CA148" s="161"/>
      <c r="CB148" s="161"/>
      <c r="CC148" s="161"/>
      <c r="CD148" s="161"/>
      <c r="CE148" s="161"/>
      <c r="CF148" s="161"/>
      <c r="CG148" s="161"/>
      <c r="CH148" s="161"/>
      <c r="CI148" s="161"/>
      <c r="CJ148" s="161"/>
      <c r="CK148" s="161"/>
      <c r="CL148" s="161"/>
      <c r="CM148" s="161"/>
      <c r="CN148" s="161"/>
      <c r="CO148" s="161"/>
      <c r="CP148" s="161"/>
      <c r="CQ148" s="161"/>
      <c r="CR148" s="161"/>
      <c r="CS148" s="161"/>
      <c r="CT148" s="161"/>
      <c r="CU148" s="161"/>
    </row>
    <row r="149" spans="2:99" s="148" customFormat="1">
      <c r="B149" s="5"/>
      <c r="C149" s="5"/>
      <c r="D149" s="6"/>
      <c r="E149" s="5"/>
      <c r="F149" s="5"/>
      <c r="G149" s="6"/>
      <c r="H149" s="5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61"/>
      <c r="Z149" s="161"/>
      <c r="AA149" s="161"/>
      <c r="AB149" s="161"/>
      <c r="AC149" s="161"/>
      <c r="AD149" s="161"/>
      <c r="AE149" s="161"/>
      <c r="AF149" s="161"/>
      <c r="AG149" s="161"/>
      <c r="AH149" s="161"/>
      <c r="AI149" s="161"/>
      <c r="AJ149" s="161"/>
      <c r="AK149" s="161"/>
      <c r="AL149" s="161"/>
      <c r="AM149" s="161"/>
      <c r="AN149" s="161"/>
      <c r="AO149" s="161"/>
      <c r="AP149" s="161"/>
      <c r="AQ149" s="161"/>
      <c r="AR149" s="161"/>
      <c r="AS149" s="161"/>
      <c r="AT149" s="161"/>
      <c r="AU149" s="161"/>
      <c r="AV149" s="161"/>
      <c r="AW149" s="161"/>
      <c r="AX149" s="161"/>
      <c r="AY149" s="161"/>
      <c r="AZ149" s="161"/>
      <c r="BA149" s="161"/>
      <c r="BB149" s="161"/>
      <c r="BC149" s="161"/>
      <c r="BD149" s="161"/>
      <c r="BE149" s="161"/>
      <c r="BF149" s="161"/>
      <c r="BG149" s="161"/>
      <c r="BH149" s="161"/>
      <c r="BI149" s="161"/>
      <c r="BJ149" s="161"/>
      <c r="BK149" s="161"/>
      <c r="BL149" s="161"/>
      <c r="BM149" s="161"/>
      <c r="BN149" s="161"/>
      <c r="BO149" s="161"/>
      <c r="BP149" s="161"/>
      <c r="BQ149" s="161"/>
      <c r="BR149" s="161"/>
      <c r="BS149" s="161"/>
      <c r="BT149" s="161"/>
      <c r="BU149" s="161"/>
      <c r="BV149" s="161"/>
      <c r="BW149" s="161"/>
      <c r="BX149" s="161"/>
      <c r="BY149" s="161"/>
      <c r="BZ149" s="161"/>
      <c r="CA149" s="161"/>
      <c r="CB149" s="161"/>
      <c r="CC149" s="161"/>
      <c r="CD149" s="161"/>
      <c r="CE149" s="161"/>
      <c r="CF149" s="161"/>
      <c r="CG149" s="161"/>
      <c r="CH149" s="161"/>
      <c r="CI149" s="161"/>
      <c r="CJ149" s="161"/>
      <c r="CK149" s="161"/>
      <c r="CL149" s="161"/>
      <c r="CM149" s="161"/>
      <c r="CN149" s="161"/>
      <c r="CO149" s="161"/>
      <c r="CP149" s="161"/>
      <c r="CQ149" s="161"/>
      <c r="CR149" s="161"/>
      <c r="CS149" s="161"/>
      <c r="CT149" s="161"/>
      <c r="CU149" s="161"/>
    </row>
    <row r="150" spans="2:99" s="148" customFormat="1">
      <c r="B150" s="5"/>
      <c r="C150" s="5"/>
      <c r="D150" s="6"/>
      <c r="E150" s="5"/>
      <c r="F150" s="5"/>
      <c r="G150" s="6"/>
      <c r="H150" s="5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61"/>
      <c r="Z150" s="161"/>
      <c r="AA150" s="161"/>
      <c r="AB150" s="161"/>
      <c r="AC150" s="161"/>
      <c r="AD150" s="161"/>
      <c r="AE150" s="161"/>
      <c r="AF150" s="161"/>
      <c r="AG150" s="161"/>
      <c r="AH150" s="161"/>
      <c r="AI150" s="161"/>
      <c r="AJ150" s="161"/>
      <c r="AK150" s="161"/>
      <c r="AL150" s="161"/>
      <c r="AM150" s="161"/>
      <c r="AN150" s="161"/>
      <c r="AO150" s="161"/>
      <c r="AP150" s="161"/>
      <c r="AQ150" s="161"/>
      <c r="AR150" s="161"/>
      <c r="AS150" s="161"/>
      <c r="AT150" s="161"/>
      <c r="AU150" s="161"/>
      <c r="AV150" s="161"/>
      <c r="AW150" s="161"/>
      <c r="AX150" s="161"/>
      <c r="AY150" s="161"/>
      <c r="AZ150" s="161"/>
      <c r="BA150" s="161"/>
      <c r="BB150" s="161"/>
      <c r="BC150" s="161"/>
      <c r="BD150" s="161"/>
      <c r="BE150" s="161"/>
      <c r="BF150" s="161"/>
      <c r="BG150" s="161"/>
      <c r="BH150" s="161"/>
      <c r="BI150" s="161"/>
      <c r="BJ150" s="161"/>
      <c r="BK150" s="161"/>
      <c r="BL150" s="161"/>
      <c r="BM150" s="161"/>
      <c r="BN150" s="161"/>
      <c r="BO150" s="161"/>
      <c r="BP150" s="161"/>
      <c r="BQ150" s="161"/>
      <c r="BR150" s="161"/>
      <c r="BS150" s="161"/>
      <c r="BT150" s="161"/>
      <c r="BU150" s="161"/>
      <c r="BV150" s="161"/>
      <c r="BW150" s="161"/>
      <c r="BX150" s="161"/>
      <c r="BY150" s="161"/>
      <c r="BZ150" s="161"/>
      <c r="CA150" s="161"/>
      <c r="CB150" s="161"/>
      <c r="CC150" s="161"/>
      <c r="CD150" s="161"/>
      <c r="CE150" s="161"/>
      <c r="CF150" s="161"/>
      <c r="CG150" s="161"/>
      <c r="CH150" s="161"/>
      <c r="CI150" s="161"/>
      <c r="CJ150" s="161"/>
      <c r="CK150" s="161"/>
      <c r="CL150" s="161"/>
      <c r="CM150" s="161"/>
      <c r="CN150" s="161"/>
      <c r="CO150" s="161"/>
      <c r="CP150" s="161"/>
      <c r="CQ150" s="161"/>
      <c r="CR150" s="161"/>
      <c r="CS150" s="161"/>
      <c r="CT150" s="161"/>
      <c r="CU150" s="161"/>
    </row>
    <row r="151" spans="2:99" s="148" customFormat="1">
      <c r="B151" s="5"/>
      <c r="C151" s="5"/>
      <c r="D151" s="6"/>
      <c r="E151" s="5"/>
      <c r="F151" s="5"/>
      <c r="G151" s="6"/>
      <c r="H151" s="5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61"/>
      <c r="Z151" s="161"/>
      <c r="AA151" s="161"/>
      <c r="AB151" s="161"/>
      <c r="AC151" s="161"/>
      <c r="AD151" s="161"/>
      <c r="AE151" s="161"/>
      <c r="AF151" s="161"/>
      <c r="AG151" s="161"/>
      <c r="AH151" s="161"/>
      <c r="AI151" s="161"/>
      <c r="AJ151" s="161"/>
      <c r="AK151" s="161"/>
      <c r="AL151" s="161"/>
      <c r="AM151" s="161"/>
      <c r="AN151" s="161"/>
      <c r="AO151" s="161"/>
      <c r="AP151" s="161"/>
      <c r="AQ151" s="161"/>
      <c r="AR151" s="161"/>
      <c r="AS151" s="161"/>
      <c r="AT151" s="161"/>
      <c r="AU151" s="161"/>
      <c r="AV151" s="161"/>
      <c r="AW151" s="161"/>
      <c r="AX151" s="161"/>
      <c r="AY151" s="161"/>
      <c r="AZ151" s="161"/>
      <c r="BA151" s="161"/>
      <c r="BB151" s="161"/>
      <c r="BC151" s="161"/>
      <c r="BD151" s="161"/>
      <c r="BE151" s="161"/>
      <c r="BF151" s="161"/>
      <c r="BG151" s="161"/>
      <c r="BH151" s="161"/>
      <c r="BI151" s="161"/>
      <c r="BJ151" s="161"/>
      <c r="BK151" s="161"/>
      <c r="BL151" s="161"/>
      <c r="BM151" s="161"/>
      <c r="BN151" s="161"/>
      <c r="BO151" s="161"/>
      <c r="BP151" s="161"/>
      <c r="BQ151" s="161"/>
      <c r="BR151" s="161"/>
      <c r="BS151" s="161"/>
      <c r="BT151" s="161"/>
      <c r="BU151" s="161"/>
      <c r="BV151" s="161"/>
      <c r="BW151" s="161"/>
      <c r="BX151" s="161"/>
      <c r="BY151" s="161"/>
      <c r="BZ151" s="161"/>
      <c r="CA151" s="161"/>
      <c r="CB151" s="161"/>
      <c r="CC151" s="161"/>
      <c r="CD151" s="161"/>
      <c r="CE151" s="161"/>
      <c r="CF151" s="161"/>
      <c r="CG151" s="161"/>
      <c r="CH151" s="161"/>
      <c r="CI151" s="161"/>
      <c r="CJ151" s="161"/>
      <c r="CK151" s="161"/>
      <c r="CL151" s="161"/>
      <c r="CM151" s="161"/>
      <c r="CN151" s="161"/>
      <c r="CO151" s="161"/>
      <c r="CP151" s="161"/>
      <c r="CQ151" s="161"/>
      <c r="CR151" s="161"/>
      <c r="CS151" s="161"/>
      <c r="CT151" s="161"/>
      <c r="CU151" s="161"/>
    </row>
    <row r="152" spans="2:99" s="148" customFormat="1">
      <c r="B152" s="5"/>
      <c r="C152" s="5"/>
      <c r="D152" s="6"/>
      <c r="E152" s="5"/>
      <c r="F152" s="5"/>
      <c r="G152" s="6"/>
      <c r="H152" s="5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  <c r="Z152" s="161"/>
      <c r="AA152" s="161"/>
      <c r="AB152" s="161"/>
      <c r="AC152" s="161"/>
      <c r="AD152" s="161"/>
      <c r="AE152" s="161"/>
      <c r="AF152" s="161"/>
      <c r="AG152" s="161"/>
      <c r="AH152" s="161"/>
      <c r="AI152" s="161"/>
      <c r="AJ152" s="161"/>
      <c r="AK152" s="161"/>
      <c r="AL152" s="161"/>
      <c r="AM152" s="161"/>
      <c r="AN152" s="161"/>
      <c r="AO152" s="161"/>
      <c r="AP152" s="161"/>
      <c r="AQ152" s="161"/>
      <c r="AR152" s="161"/>
      <c r="AS152" s="161"/>
      <c r="AT152" s="161"/>
      <c r="AU152" s="161"/>
      <c r="AV152" s="161"/>
      <c r="AW152" s="161"/>
      <c r="AX152" s="161"/>
      <c r="AY152" s="161"/>
      <c r="AZ152" s="161"/>
      <c r="BA152" s="161"/>
      <c r="BB152" s="161"/>
      <c r="BC152" s="161"/>
      <c r="BD152" s="161"/>
      <c r="BE152" s="161"/>
      <c r="BF152" s="161"/>
      <c r="BG152" s="161"/>
      <c r="BH152" s="161"/>
      <c r="BI152" s="161"/>
      <c r="BJ152" s="161"/>
      <c r="BK152" s="161"/>
      <c r="BL152" s="161"/>
      <c r="BM152" s="161"/>
      <c r="BN152" s="161"/>
      <c r="BO152" s="161"/>
      <c r="BP152" s="161"/>
      <c r="BQ152" s="161"/>
      <c r="BR152" s="161"/>
      <c r="BS152" s="161"/>
      <c r="BT152" s="161"/>
      <c r="BU152" s="161"/>
      <c r="BV152" s="161"/>
      <c r="BW152" s="161"/>
      <c r="BX152" s="161"/>
      <c r="BY152" s="161"/>
      <c r="BZ152" s="161"/>
      <c r="CA152" s="161"/>
      <c r="CB152" s="161"/>
      <c r="CC152" s="161"/>
      <c r="CD152" s="161"/>
      <c r="CE152" s="161"/>
      <c r="CF152" s="161"/>
      <c r="CG152" s="161"/>
      <c r="CH152" s="161"/>
      <c r="CI152" s="161"/>
      <c r="CJ152" s="161"/>
      <c r="CK152" s="161"/>
      <c r="CL152" s="161"/>
      <c r="CM152" s="161"/>
      <c r="CN152" s="161"/>
      <c r="CO152" s="161"/>
      <c r="CP152" s="161"/>
      <c r="CQ152" s="161"/>
      <c r="CR152" s="161"/>
      <c r="CS152" s="161"/>
      <c r="CT152" s="161"/>
      <c r="CU152" s="161"/>
    </row>
    <row r="153" spans="2:99" s="148" customFormat="1">
      <c r="B153" s="5"/>
      <c r="C153" s="5"/>
      <c r="D153" s="6"/>
      <c r="E153" s="5"/>
      <c r="F153" s="5"/>
      <c r="G153" s="6"/>
      <c r="H153" s="5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61"/>
      <c r="Z153" s="161"/>
      <c r="AA153" s="161"/>
      <c r="AB153" s="161"/>
      <c r="AC153" s="161"/>
      <c r="AD153" s="161"/>
      <c r="AE153" s="161"/>
      <c r="AF153" s="161"/>
      <c r="AG153" s="161"/>
      <c r="AH153" s="161"/>
      <c r="AI153" s="161"/>
      <c r="AJ153" s="161"/>
      <c r="AK153" s="161"/>
      <c r="AL153" s="161"/>
      <c r="AM153" s="161"/>
      <c r="AN153" s="161"/>
      <c r="AO153" s="161"/>
      <c r="AP153" s="161"/>
      <c r="AQ153" s="161"/>
      <c r="AR153" s="161"/>
      <c r="AS153" s="161"/>
      <c r="AT153" s="161"/>
      <c r="AU153" s="161"/>
      <c r="AV153" s="161"/>
      <c r="AW153" s="161"/>
      <c r="AX153" s="161"/>
      <c r="AY153" s="161"/>
      <c r="AZ153" s="161"/>
      <c r="BA153" s="161"/>
      <c r="BB153" s="161"/>
      <c r="BC153" s="161"/>
      <c r="BD153" s="161"/>
      <c r="BE153" s="161"/>
      <c r="BF153" s="161"/>
      <c r="BG153" s="161"/>
      <c r="BH153" s="161"/>
      <c r="BI153" s="161"/>
      <c r="BJ153" s="161"/>
      <c r="BK153" s="161"/>
      <c r="BL153" s="161"/>
      <c r="BM153" s="161"/>
      <c r="BN153" s="161"/>
      <c r="BO153" s="161"/>
      <c r="BP153" s="161"/>
      <c r="BQ153" s="161"/>
      <c r="BR153" s="161"/>
      <c r="BS153" s="161"/>
      <c r="BT153" s="161"/>
      <c r="BU153" s="161"/>
      <c r="BV153" s="161"/>
      <c r="BW153" s="161"/>
      <c r="BX153" s="161"/>
      <c r="BY153" s="161"/>
      <c r="BZ153" s="161"/>
      <c r="CA153" s="161"/>
      <c r="CB153" s="161"/>
      <c r="CC153" s="161"/>
      <c r="CD153" s="161"/>
      <c r="CE153" s="161"/>
      <c r="CF153" s="161"/>
      <c r="CG153" s="161"/>
      <c r="CH153" s="161"/>
      <c r="CI153" s="161"/>
      <c r="CJ153" s="161"/>
      <c r="CK153" s="161"/>
      <c r="CL153" s="161"/>
      <c r="CM153" s="161"/>
      <c r="CN153" s="161"/>
      <c r="CO153" s="161"/>
      <c r="CP153" s="161"/>
      <c r="CQ153" s="161"/>
      <c r="CR153" s="161"/>
      <c r="CS153" s="161"/>
      <c r="CT153" s="161"/>
      <c r="CU153" s="161"/>
    </row>
    <row r="154" spans="2:99" s="148" customFormat="1">
      <c r="B154" s="5"/>
      <c r="C154" s="5"/>
      <c r="D154" s="6"/>
      <c r="E154" s="5"/>
      <c r="F154" s="5"/>
      <c r="G154" s="6"/>
      <c r="H154" s="5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61"/>
      <c r="Z154" s="161"/>
      <c r="AA154" s="161"/>
      <c r="AB154" s="161"/>
      <c r="AC154" s="161"/>
      <c r="AD154" s="161"/>
      <c r="AE154" s="161"/>
      <c r="AF154" s="161"/>
      <c r="AG154" s="161"/>
      <c r="AH154" s="161"/>
      <c r="AI154" s="161"/>
      <c r="AJ154" s="161"/>
      <c r="AK154" s="161"/>
      <c r="AL154" s="161"/>
      <c r="AM154" s="161"/>
      <c r="AN154" s="161"/>
      <c r="AO154" s="161"/>
      <c r="AP154" s="161"/>
      <c r="AQ154" s="161"/>
      <c r="AR154" s="161"/>
      <c r="AS154" s="161"/>
      <c r="AT154" s="161"/>
      <c r="AU154" s="161"/>
      <c r="AV154" s="161"/>
      <c r="AW154" s="161"/>
      <c r="AX154" s="161"/>
      <c r="AY154" s="161"/>
      <c r="AZ154" s="161"/>
      <c r="BA154" s="161"/>
      <c r="BB154" s="161"/>
      <c r="BC154" s="161"/>
      <c r="BD154" s="161"/>
      <c r="BE154" s="161"/>
      <c r="BF154" s="161"/>
      <c r="BG154" s="161"/>
      <c r="BH154" s="161"/>
      <c r="BI154" s="161"/>
      <c r="BJ154" s="161"/>
      <c r="BK154" s="161"/>
      <c r="BL154" s="161"/>
      <c r="BM154" s="161"/>
      <c r="BN154" s="161"/>
      <c r="BO154" s="161"/>
      <c r="BP154" s="161"/>
      <c r="BQ154" s="161"/>
      <c r="BR154" s="161"/>
      <c r="BS154" s="161"/>
      <c r="BT154" s="161"/>
      <c r="BU154" s="161"/>
      <c r="BV154" s="161"/>
      <c r="BW154" s="161"/>
      <c r="BX154" s="161"/>
      <c r="BY154" s="161"/>
      <c r="BZ154" s="161"/>
      <c r="CA154" s="161"/>
      <c r="CB154" s="161"/>
      <c r="CC154" s="161"/>
      <c r="CD154" s="161"/>
      <c r="CE154" s="161"/>
      <c r="CF154" s="161"/>
      <c r="CG154" s="161"/>
      <c r="CH154" s="161"/>
      <c r="CI154" s="161"/>
      <c r="CJ154" s="161"/>
      <c r="CK154" s="161"/>
      <c r="CL154" s="161"/>
      <c r="CM154" s="161"/>
      <c r="CN154" s="161"/>
      <c r="CO154" s="161"/>
      <c r="CP154" s="161"/>
      <c r="CQ154" s="161"/>
      <c r="CR154" s="161"/>
      <c r="CS154" s="161"/>
      <c r="CT154" s="161"/>
      <c r="CU154" s="161"/>
    </row>
    <row r="155" spans="2:99" s="148" customFormat="1">
      <c r="B155" s="5"/>
      <c r="C155" s="5"/>
      <c r="D155" s="6"/>
      <c r="E155" s="5"/>
      <c r="F155" s="5"/>
      <c r="G155" s="6"/>
      <c r="H155" s="5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61"/>
      <c r="Z155" s="161"/>
      <c r="AA155" s="161"/>
      <c r="AB155" s="161"/>
      <c r="AC155" s="161"/>
      <c r="AD155" s="161"/>
      <c r="AE155" s="161"/>
      <c r="AF155" s="161"/>
      <c r="AG155" s="161"/>
      <c r="AH155" s="161"/>
      <c r="AI155" s="161"/>
      <c r="AJ155" s="161"/>
      <c r="AK155" s="161"/>
      <c r="AL155" s="161"/>
      <c r="AM155" s="161"/>
      <c r="AN155" s="161"/>
      <c r="AO155" s="161"/>
      <c r="AP155" s="161"/>
      <c r="AQ155" s="161"/>
      <c r="AR155" s="161"/>
      <c r="AS155" s="161"/>
      <c r="AT155" s="161"/>
      <c r="AU155" s="161"/>
      <c r="AV155" s="161"/>
      <c r="AW155" s="161"/>
      <c r="AX155" s="161"/>
      <c r="AY155" s="161"/>
      <c r="AZ155" s="161"/>
      <c r="BA155" s="161"/>
      <c r="BB155" s="161"/>
      <c r="BC155" s="161"/>
      <c r="BD155" s="161"/>
      <c r="BE155" s="161"/>
      <c r="BF155" s="161"/>
      <c r="BG155" s="161"/>
      <c r="BH155" s="161"/>
      <c r="BI155" s="161"/>
      <c r="BJ155" s="161"/>
      <c r="BK155" s="161"/>
      <c r="BL155" s="161"/>
      <c r="BM155" s="161"/>
      <c r="BN155" s="161"/>
      <c r="BO155" s="161"/>
      <c r="BP155" s="161"/>
      <c r="BQ155" s="161"/>
      <c r="BR155" s="161"/>
      <c r="BS155" s="161"/>
      <c r="BT155" s="161"/>
      <c r="BU155" s="161"/>
      <c r="BV155" s="161"/>
      <c r="BW155" s="161"/>
      <c r="BX155" s="161"/>
      <c r="BY155" s="161"/>
      <c r="BZ155" s="161"/>
      <c r="CA155" s="161"/>
      <c r="CB155" s="161"/>
      <c r="CC155" s="161"/>
      <c r="CD155" s="161"/>
      <c r="CE155" s="161"/>
      <c r="CF155" s="161"/>
      <c r="CG155" s="161"/>
      <c r="CH155" s="161"/>
      <c r="CI155" s="161"/>
      <c r="CJ155" s="161"/>
      <c r="CK155" s="161"/>
      <c r="CL155" s="161"/>
      <c r="CM155" s="161"/>
      <c r="CN155" s="161"/>
      <c r="CO155" s="161"/>
      <c r="CP155" s="161"/>
      <c r="CQ155" s="161"/>
      <c r="CR155" s="161"/>
      <c r="CS155" s="161"/>
      <c r="CT155" s="161"/>
      <c r="CU155" s="161"/>
    </row>
    <row r="156" spans="2:99" s="148" customFormat="1">
      <c r="B156" s="5"/>
      <c r="C156" s="5"/>
      <c r="D156" s="6"/>
      <c r="E156" s="5"/>
      <c r="F156" s="5"/>
      <c r="G156" s="6"/>
      <c r="H156" s="5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61"/>
      <c r="Z156" s="161"/>
      <c r="AA156" s="161"/>
      <c r="AB156" s="161"/>
      <c r="AC156" s="161"/>
      <c r="AD156" s="161"/>
      <c r="AE156" s="161"/>
      <c r="AF156" s="161"/>
      <c r="AG156" s="161"/>
      <c r="AH156" s="161"/>
      <c r="AI156" s="161"/>
      <c r="AJ156" s="161"/>
      <c r="AK156" s="161"/>
      <c r="AL156" s="161"/>
      <c r="AM156" s="161"/>
      <c r="AN156" s="161"/>
      <c r="AO156" s="161"/>
      <c r="AP156" s="161"/>
      <c r="AQ156" s="161"/>
      <c r="AR156" s="161"/>
      <c r="AS156" s="161"/>
      <c r="AT156" s="161"/>
      <c r="AU156" s="161"/>
      <c r="AV156" s="161"/>
      <c r="AW156" s="161"/>
      <c r="AX156" s="161"/>
      <c r="AY156" s="161"/>
      <c r="AZ156" s="161"/>
      <c r="BA156" s="161"/>
      <c r="BB156" s="161"/>
      <c r="BC156" s="161"/>
      <c r="BD156" s="161"/>
      <c r="BE156" s="161"/>
      <c r="BF156" s="161"/>
      <c r="BG156" s="161"/>
      <c r="BH156" s="161"/>
      <c r="BI156" s="161"/>
      <c r="BJ156" s="161"/>
      <c r="BK156" s="161"/>
      <c r="BL156" s="161"/>
      <c r="BM156" s="161"/>
      <c r="BN156" s="161"/>
      <c r="BO156" s="161"/>
      <c r="BP156" s="161"/>
      <c r="BQ156" s="161"/>
      <c r="BR156" s="161"/>
      <c r="BS156" s="161"/>
      <c r="BT156" s="161"/>
      <c r="BU156" s="161"/>
      <c r="BV156" s="161"/>
      <c r="BW156" s="161"/>
      <c r="BX156" s="161"/>
      <c r="BY156" s="161"/>
      <c r="BZ156" s="161"/>
      <c r="CA156" s="161"/>
      <c r="CB156" s="161"/>
      <c r="CC156" s="161"/>
      <c r="CD156" s="161"/>
      <c r="CE156" s="161"/>
      <c r="CF156" s="161"/>
      <c r="CG156" s="161"/>
      <c r="CH156" s="161"/>
      <c r="CI156" s="161"/>
      <c r="CJ156" s="161"/>
      <c r="CK156" s="161"/>
      <c r="CL156" s="161"/>
      <c r="CM156" s="161"/>
      <c r="CN156" s="161"/>
      <c r="CO156" s="161"/>
      <c r="CP156" s="161"/>
      <c r="CQ156" s="161"/>
      <c r="CR156" s="161"/>
      <c r="CS156" s="161"/>
      <c r="CT156" s="161"/>
      <c r="CU156" s="161"/>
    </row>
    <row r="157" spans="2:99" s="148" customFormat="1">
      <c r="B157" s="5"/>
      <c r="C157" s="5"/>
      <c r="D157" s="6"/>
      <c r="E157" s="5"/>
      <c r="F157" s="5"/>
      <c r="G157" s="6"/>
      <c r="H157" s="5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61"/>
      <c r="Z157" s="161"/>
      <c r="AA157" s="161"/>
      <c r="AB157" s="161"/>
      <c r="AC157" s="161"/>
      <c r="AD157" s="161"/>
      <c r="AE157" s="161"/>
      <c r="AF157" s="161"/>
      <c r="AG157" s="161"/>
      <c r="AH157" s="161"/>
      <c r="AI157" s="161"/>
      <c r="AJ157" s="161"/>
      <c r="AK157" s="161"/>
      <c r="AL157" s="161"/>
      <c r="AM157" s="161"/>
      <c r="AN157" s="161"/>
      <c r="AO157" s="161"/>
      <c r="AP157" s="161"/>
      <c r="AQ157" s="161"/>
      <c r="AR157" s="161"/>
      <c r="AS157" s="161"/>
      <c r="AT157" s="161"/>
      <c r="AU157" s="161"/>
      <c r="AV157" s="161"/>
      <c r="AW157" s="161"/>
      <c r="AX157" s="161"/>
      <c r="AY157" s="161"/>
      <c r="AZ157" s="161"/>
      <c r="BA157" s="161"/>
      <c r="BB157" s="161"/>
      <c r="BC157" s="161"/>
      <c r="BD157" s="161"/>
      <c r="BE157" s="161"/>
      <c r="BF157" s="161"/>
      <c r="BG157" s="161"/>
      <c r="BH157" s="161"/>
      <c r="BI157" s="161"/>
      <c r="BJ157" s="161"/>
      <c r="BK157" s="161"/>
      <c r="BL157" s="161"/>
      <c r="BM157" s="161"/>
      <c r="BN157" s="161"/>
      <c r="BO157" s="161"/>
      <c r="BP157" s="161"/>
      <c r="BQ157" s="161"/>
      <c r="BR157" s="161"/>
      <c r="BS157" s="161"/>
      <c r="BT157" s="161"/>
      <c r="BU157" s="161"/>
      <c r="BV157" s="161"/>
      <c r="BW157" s="161"/>
      <c r="BX157" s="161"/>
      <c r="BY157" s="161"/>
      <c r="BZ157" s="161"/>
      <c r="CA157" s="161"/>
      <c r="CB157" s="161"/>
      <c r="CC157" s="161"/>
      <c r="CD157" s="161"/>
      <c r="CE157" s="161"/>
      <c r="CF157" s="161"/>
      <c r="CG157" s="161"/>
      <c r="CH157" s="161"/>
      <c r="CI157" s="161"/>
      <c r="CJ157" s="161"/>
      <c r="CK157" s="161"/>
      <c r="CL157" s="161"/>
      <c r="CM157" s="161"/>
      <c r="CN157" s="161"/>
      <c r="CO157" s="161"/>
      <c r="CP157" s="161"/>
      <c r="CQ157" s="161"/>
      <c r="CR157" s="161"/>
      <c r="CS157" s="161"/>
      <c r="CT157" s="161"/>
      <c r="CU157" s="161"/>
    </row>
    <row r="158" spans="2:99" s="148" customFormat="1">
      <c r="B158" s="5"/>
      <c r="C158" s="5"/>
      <c r="D158" s="6"/>
      <c r="E158" s="5"/>
      <c r="F158" s="5"/>
      <c r="G158" s="6"/>
      <c r="H158" s="5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  <c r="AB158" s="161"/>
      <c r="AC158" s="161"/>
      <c r="AD158" s="161"/>
      <c r="AE158" s="161"/>
      <c r="AF158" s="161"/>
      <c r="AG158" s="161"/>
      <c r="AH158" s="161"/>
      <c r="AI158" s="161"/>
      <c r="AJ158" s="161"/>
      <c r="AK158" s="161"/>
      <c r="AL158" s="161"/>
      <c r="AM158" s="161"/>
      <c r="AN158" s="161"/>
      <c r="AO158" s="161"/>
      <c r="AP158" s="161"/>
      <c r="AQ158" s="161"/>
      <c r="AR158" s="161"/>
      <c r="AS158" s="161"/>
      <c r="AT158" s="161"/>
      <c r="AU158" s="161"/>
      <c r="AV158" s="161"/>
      <c r="AW158" s="161"/>
      <c r="AX158" s="161"/>
      <c r="AY158" s="161"/>
      <c r="AZ158" s="161"/>
      <c r="BA158" s="161"/>
      <c r="BB158" s="161"/>
      <c r="BC158" s="161"/>
      <c r="BD158" s="161"/>
      <c r="BE158" s="161"/>
      <c r="BF158" s="161"/>
      <c r="BG158" s="161"/>
      <c r="BH158" s="161"/>
      <c r="BI158" s="161"/>
      <c r="BJ158" s="161"/>
      <c r="BK158" s="161"/>
      <c r="BL158" s="161"/>
      <c r="BM158" s="161"/>
      <c r="BN158" s="161"/>
      <c r="BO158" s="161"/>
      <c r="BP158" s="161"/>
      <c r="BQ158" s="161"/>
      <c r="BR158" s="161"/>
      <c r="BS158" s="161"/>
      <c r="BT158" s="161"/>
      <c r="BU158" s="161"/>
      <c r="BV158" s="161"/>
      <c r="BW158" s="161"/>
      <c r="BX158" s="161"/>
      <c r="BY158" s="161"/>
      <c r="BZ158" s="161"/>
      <c r="CA158" s="161"/>
      <c r="CB158" s="161"/>
      <c r="CC158" s="161"/>
      <c r="CD158" s="161"/>
      <c r="CE158" s="161"/>
      <c r="CF158" s="161"/>
      <c r="CG158" s="161"/>
      <c r="CH158" s="161"/>
      <c r="CI158" s="161"/>
      <c r="CJ158" s="161"/>
      <c r="CK158" s="161"/>
      <c r="CL158" s="161"/>
      <c r="CM158" s="161"/>
      <c r="CN158" s="161"/>
      <c r="CO158" s="161"/>
      <c r="CP158" s="161"/>
      <c r="CQ158" s="161"/>
      <c r="CR158" s="161"/>
      <c r="CS158" s="161"/>
      <c r="CT158" s="161"/>
      <c r="CU158" s="161"/>
    </row>
    <row r="159" spans="2:99" s="148" customFormat="1">
      <c r="B159" s="5"/>
      <c r="C159" s="5"/>
      <c r="D159" s="6"/>
      <c r="E159" s="5"/>
      <c r="F159" s="5"/>
      <c r="G159" s="6"/>
      <c r="H159" s="5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61"/>
      <c r="AF159" s="161"/>
      <c r="AG159" s="161"/>
      <c r="AH159" s="161"/>
      <c r="AI159" s="161"/>
      <c r="AJ159" s="161"/>
      <c r="AK159" s="161"/>
      <c r="AL159" s="161"/>
      <c r="AM159" s="161"/>
      <c r="AN159" s="161"/>
      <c r="AO159" s="161"/>
      <c r="AP159" s="161"/>
      <c r="AQ159" s="161"/>
      <c r="AR159" s="161"/>
      <c r="AS159" s="161"/>
      <c r="AT159" s="161"/>
      <c r="AU159" s="161"/>
      <c r="AV159" s="161"/>
      <c r="AW159" s="161"/>
      <c r="AX159" s="161"/>
      <c r="AY159" s="161"/>
      <c r="AZ159" s="161"/>
      <c r="BA159" s="161"/>
      <c r="BB159" s="161"/>
      <c r="BC159" s="161"/>
      <c r="BD159" s="161"/>
      <c r="BE159" s="161"/>
      <c r="BF159" s="161"/>
      <c r="BG159" s="161"/>
      <c r="BH159" s="161"/>
      <c r="BI159" s="161"/>
      <c r="BJ159" s="161"/>
      <c r="BK159" s="161"/>
      <c r="BL159" s="161"/>
      <c r="BM159" s="161"/>
      <c r="BN159" s="161"/>
      <c r="BO159" s="161"/>
      <c r="BP159" s="161"/>
      <c r="BQ159" s="161"/>
      <c r="BR159" s="161"/>
      <c r="BS159" s="161"/>
      <c r="BT159" s="161"/>
      <c r="BU159" s="161"/>
      <c r="BV159" s="161"/>
      <c r="BW159" s="161"/>
      <c r="BX159" s="161"/>
      <c r="BY159" s="161"/>
      <c r="BZ159" s="161"/>
      <c r="CA159" s="161"/>
      <c r="CB159" s="161"/>
      <c r="CC159" s="161"/>
      <c r="CD159" s="161"/>
      <c r="CE159" s="161"/>
      <c r="CF159" s="161"/>
      <c r="CG159" s="161"/>
      <c r="CH159" s="161"/>
      <c r="CI159" s="161"/>
      <c r="CJ159" s="161"/>
      <c r="CK159" s="161"/>
      <c r="CL159" s="161"/>
      <c r="CM159" s="161"/>
      <c r="CN159" s="161"/>
      <c r="CO159" s="161"/>
      <c r="CP159" s="161"/>
      <c r="CQ159" s="161"/>
      <c r="CR159" s="161"/>
      <c r="CS159" s="161"/>
      <c r="CT159" s="161"/>
      <c r="CU159" s="161"/>
    </row>
    <row r="160" spans="2:99" s="148" customFormat="1">
      <c r="B160" s="5"/>
      <c r="C160" s="5"/>
      <c r="D160" s="6"/>
      <c r="E160" s="5"/>
      <c r="F160" s="5"/>
      <c r="G160" s="6"/>
      <c r="H160" s="5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61"/>
      <c r="Z160" s="161"/>
      <c r="AA160" s="161"/>
      <c r="AB160" s="161"/>
      <c r="AC160" s="161"/>
      <c r="AD160" s="161"/>
      <c r="AE160" s="161"/>
      <c r="AF160" s="161"/>
      <c r="AG160" s="161"/>
      <c r="AH160" s="161"/>
      <c r="AI160" s="161"/>
      <c r="AJ160" s="161"/>
      <c r="AK160" s="161"/>
      <c r="AL160" s="161"/>
      <c r="AM160" s="161"/>
      <c r="AN160" s="161"/>
      <c r="AO160" s="161"/>
      <c r="AP160" s="161"/>
      <c r="AQ160" s="161"/>
      <c r="AR160" s="161"/>
      <c r="AS160" s="161"/>
      <c r="AT160" s="161"/>
      <c r="AU160" s="161"/>
      <c r="AV160" s="161"/>
      <c r="AW160" s="161"/>
      <c r="AX160" s="161"/>
      <c r="AY160" s="161"/>
      <c r="AZ160" s="161"/>
      <c r="BA160" s="161"/>
      <c r="BB160" s="161"/>
      <c r="BC160" s="161"/>
      <c r="BD160" s="161"/>
      <c r="BE160" s="161"/>
      <c r="BF160" s="161"/>
      <c r="BG160" s="161"/>
      <c r="BH160" s="161"/>
      <c r="BI160" s="161"/>
      <c r="BJ160" s="161"/>
      <c r="BK160" s="161"/>
      <c r="BL160" s="161"/>
      <c r="BM160" s="161"/>
      <c r="BN160" s="161"/>
      <c r="BO160" s="161"/>
      <c r="BP160" s="161"/>
      <c r="BQ160" s="161"/>
      <c r="BR160" s="161"/>
      <c r="BS160" s="161"/>
      <c r="BT160" s="161"/>
      <c r="BU160" s="161"/>
      <c r="BV160" s="161"/>
      <c r="BW160" s="161"/>
      <c r="BX160" s="161"/>
      <c r="BY160" s="161"/>
      <c r="BZ160" s="161"/>
      <c r="CA160" s="161"/>
      <c r="CB160" s="161"/>
      <c r="CC160" s="161"/>
      <c r="CD160" s="161"/>
      <c r="CE160" s="161"/>
      <c r="CF160" s="161"/>
      <c r="CG160" s="161"/>
      <c r="CH160" s="161"/>
      <c r="CI160" s="161"/>
      <c r="CJ160" s="161"/>
      <c r="CK160" s="161"/>
      <c r="CL160" s="161"/>
      <c r="CM160" s="161"/>
      <c r="CN160" s="161"/>
      <c r="CO160" s="161"/>
      <c r="CP160" s="161"/>
      <c r="CQ160" s="161"/>
      <c r="CR160" s="161"/>
      <c r="CS160" s="161"/>
      <c r="CT160" s="161"/>
      <c r="CU160" s="161"/>
    </row>
    <row r="161" spans="2:99" s="148" customFormat="1">
      <c r="B161" s="5"/>
      <c r="C161" s="5"/>
      <c r="D161" s="6"/>
      <c r="E161" s="5"/>
      <c r="F161" s="5"/>
      <c r="G161" s="6"/>
      <c r="H161" s="5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61"/>
      <c r="Z161" s="161"/>
      <c r="AA161" s="161"/>
      <c r="AB161" s="161"/>
      <c r="AC161" s="161"/>
      <c r="AD161" s="161"/>
      <c r="AE161" s="161"/>
      <c r="AF161" s="161"/>
      <c r="AG161" s="161"/>
      <c r="AH161" s="161"/>
      <c r="AI161" s="161"/>
      <c r="AJ161" s="161"/>
      <c r="AK161" s="161"/>
      <c r="AL161" s="161"/>
      <c r="AM161" s="161"/>
      <c r="AN161" s="161"/>
      <c r="AO161" s="161"/>
      <c r="AP161" s="161"/>
      <c r="AQ161" s="161"/>
      <c r="AR161" s="161"/>
      <c r="AS161" s="161"/>
      <c r="AT161" s="161"/>
      <c r="AU161" s="161"/>
      <c r="AV161" s="161"/>
      <c r="AW161" s="161"/>
      <c r="AX161" s="161"/>
      <c r="AY161" s="161"/>
      <c r="AZ161" s="161"/>
      <c r="BA161" s="161"/>
      <c r="BB161" s="161"/>
      <c r="BC161" s="161"/>
      <c r="BD161" s="161"/>
      <c r="BE161" s="161"/>
      <c r="BF161" s="161"/>
      <c r="BG161" s="161"/>
      <c r="BH161" s="161"/>
      <c r="BI161" s="161"/>
      <c r="BJ161" s="161"/>
      <c r="BK161" s="161"/>
      <c r="BL161" s="161"/>
      <c r="BM161" s="161"/>
      <c r="BN161" s="161"/>
      <c r="BO161" s="161"/>
      <c r="BP161" s="161"/>
      <c r="BQ161" s="161"/>
      <c r="BR161" s="161"/>
      <c r="BS161" s="161"/>
      <c r="BT161" s="161"/>
      <c r="BU161" s="161"/>
      <c r="BV161" s="161"/>
      <c r="BW161" s="161"/>
      <c r="BX161" s="161"/>
      <c r="BY161" s="161"/>
      <c r="BZ161" s="161"/>
      <c r="CA161" s="161"/>
      <c r="CB161" s="161"/>
      <c r="CC161" s="161"/>
      <c r="CD161" s="161"/>
      <c r="CE161" s="161"/>
      <c r="CF161" s="161"/>
      <c r="CG161" s="161"/>
      <c r="CH161" s="161"/>
      <c r="CI161" s="161"/>
      <c r="CJ161" s="161"/>
      <c r="CK161" s="161"/>
      <c r="CL161" s="161"/>
      <c r="CM161" s="161"/>
      <c r="CN161" s="161"/>
      <c r="CO161" s="161"/>
      <c r="CP161" s="161"/>
      <c r="CQ161" s="161"/>
      <c r="CR161" s="161"/>
      <c r="CS161" s="161"/>
      <c r="CT161" s="161"/>
      <c r="CU161" s="161"/>
    </row>
    <row r="162" spans="2:99" s="148" customFormat="1">
      <c r="B162" s="5"/>
      <c r="C162" s="5"/>
      <c r="D162" s="6"/>
      <c r="E162" s="5"/>
      <c r="F162" s="5"/>
      <c r="G162" s="6"/>
      <c r="H162" s="5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61"/>
      <c r="AF162" s="161"/>
      <c r="AG162" s="161"/>
      <c r="AH162" s="161"/>
      <c r="AI162" s="161"/>
      <c r="AJ162" s="161"/>
      <c r="AK162" s="161"/>
      <c r="AL162" s="161"/>
      <c r="AM162" s="161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161"/>
      <c r="AX162" s="161"/>
      <c r="AY162" s="161"/>
      <c r="AZ162" s="161"/>
      <c r="BA162" s="161"/>
      <c r="BB162" s="161"/>
      <c r="BC162" s="161"/>
      <c r="BD162" s="161"/>
      <c r="BE162" s="161"/>
      <c r="BF162" s="161"/>
      <c r="BG162" s="161"/>
      <c r="BH162" s="161"/>
      <c r="BI162" s="161"/>
      <c r="BJ162" s="161"/>
      <c r="BK162" s="161"/>
      <c r="BL162" s="161"/>
      <c r="BM162" s="161"/>
      <c r="BN162" s="161"/>
      <c r="BO162" s="161"/>
      <c r="BP162" s="161"/>
      <c r="BQ162" s="161"/>
      <c r="BR162" s="161"/>
      <c r="BS162" s="161"/>
      <c r="BT162" s="161"/>
      <c r="BU162" s="161"/>
      <c r="BV162" s="161"/>
      <c r="BW162" s="161"/>
      <c r="BX162" s="161"/>
      <c r="BY162" s="161"/>
      <c r="BZ162" s="161"/>
      <c r="CA162" s="161"/>
      <c r="CB162" s="161"/>
      <c r="CC162" s="161"/>
      <c r="CD162" s="161"/>
      <c r="CE162" s="161"/>
      <c r="CF162" s="161"/>
      <c r="CG162" s="161"/>
      <c r="CH162" s="161"/>
      <c r="CI162" s="161"/>
      <c r="CJ162" s="161"/>
      <c r="CK162" s="161"/>
      <c r="CL162" s="161"/>
      <c r="CM162" s="161"/>
      <c r="CN162" s="161"/>
      <c r="CO162" s="161"/>
      <c r="CP162" s="161"/>
      <c r="CQ162" s="161"/>
      <c r="CR162" s="161"/>
      <c r="CS162" s="161"/>
      <c r="CT162" s="161"/>
      <c r="CU162" s="161"/>
    </row>
    <row r="163" spans="2:99" s="148" customFormat="1">
      <c r="B163" s="5"/>
      <c r="C163" s="5"/>
      <c r="D163" s="6"/>
      <c r="E163" s="5"/>
      <c r="F163" s="5"/>
      <c r="G163" s="6"/>
      <c r="H163" s="5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61"/>
      <c r="Z163" s="161"/>
      <c r="AA163" s="161"/>
      <c r="AB163" s="161"/>
      <c r="AC163" s="161"/>
      <c r="AD163" s="161"/>
      <c r="AE163" s="161"/>
      <c r="AF163" s="161"/>
      <c r="AG163" s="161"/>
      <c r="AH163" s="161"/>
      <c r="AI163" s="161"/>
      <c r="AJ163" s="161"/>
      <c r="AK163" s="161"/>
      <c r="AL163" s="161"/>
      <c r="AM163" s="161"/>
      <c r="AN163" s="161"/>
      <c r="AO163" s="161"/>
      <c r="AP163" s="161"/>
      <c r="AQ163" s="161"/>
      <c r="AR163" s="161"/>
      <c r="AS163" s="161"/>
      <c r="AT163" s="161"/>
      <c r="AU163" s="161"/>
      <c r="AV163" s="161"/>
      <c r="AW163" s="161"/>
      <c r="AX163" s="161"/>
      <c r="AY163" s="161"/>
      <c r="AZ163" s="161"/>
      <c r="BA163" s="161"/>
      <c r="BB163" s="161"/>
      <c r="BC163" s="161"/>
      <c r="BD163" s="161"/>
      <c r="BE163" s="161"/>
      <c r="BF163" s="161"/>
      <c r="BG163" s="161"/>
      <c r="BH163" s="161"/>
      <c r="BI163" s="161"/>
      <c r="BJ163" s="161"/>
      <c r="BK163" s="161"/>
      <c r="BL163" s="161"/>
      <c r="BM163" s="161"/>
      <c r="BN163" s="161"/>
      <c r="BO163" s="161"/>
      <c r="BP163" s="161"/>
      <c r="BQ163" s="161"/>
      <c r="BR163" s="161"/>
      <c r="BS163" s="161"/>
      <c r="BT163" s="161"/>
      <c r="BU163" s="161"/>
      <c r="BV163" s="161"/>
      <c r="BW163" s="161"/>
      <c r="BX163" s="161"/>
      <c r="BY163" s="161"/>
      <c r="BZ163" s="161"/>
      <c r="CA163" s="161"/>
      <c r="CB163" s="161"/>
      <c r="CC163" s="161"/>
      <c r="CD163" s="161"/>
      <c r="CE163" s="161"/>
      <c r="CF163" s="161"/>
      <c r="CG163" s="161"/>
      <c r="CH163" s="161"/>
      <c r="CI163" s="161"/>
      <c r="CJ163" s="161"/>
      <c r="CK163" s="161"/>
      <c r="CL163" s="161"/>
      <c r="CM163" s="161"/>
      <c r="CN163" s="161"/>
      <c r="CO163" s="161"/>
      <c r="CP163" s="161"/>
      <c r="CQ163" s="161"/>
      <c r="CR163" s="161"/>
      <c r="CS163" s="161"/>
      <c r="CT163" s="161"/>
      <c r="CU163" s="161"/>
    </row>
    <row r="164" spans="2:99" s="148" customFormat="1">
      <c r="B164" s="5"/>
      <c r="C164" s="5"/>
      <c r="D164" s="6"/>
      <c r="E164" s="5"/>
      <c r="F164" s="5"/>
      <c r="G164" s="6"/>
      <c r="H164" s="5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61"/>
      <c r="Z164" s="161"/>
      <c r="AA164" s="161"/>
      <c r="AB164" s="161"/>
      <c r="AC164" s="161"/>
      <c r="AD164" s="161"/>
      <c r="AE164" s="161"/>
      <c r="AF164" s="161"/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61"/>
      <c r="AQ164" s="161"/>
      <c r="AR164" s="161"/>
      <c r="AS164" s="161"/>
      <c r="AT164" s="161"/>
      <c r="AU164" s="161"/>
      <c r="AV164" s="161"/>
      <c r="AW164" s="161"/>
      <c r="AX164" s="161"/>
      <c r="AY164" s="161"/>
      <c r="AZ164" s="161"/>
      <c r="BA164" s="161"/>
      <c r="BB164" s="161"/>
      <c r="BC164" s="161"/>
      <c r="BD164" s="161"/>
      <c r="BE164" s="161"/>
      <c r="BF164" s="161"/>
      <c r="BG164" s="161"/>
      <c r="BH164" s="161"/>
      <c r="BI164" s="161"/>
      <c r="BJ164" s="161"/>
      <c r="BK164" s="161"/>
      <c r="BL164" s="161"/>
      <c r="BM164" s="161"/>
      <c r="BN164" s="161"/>
      <c r="BO164" s="161"/>
      <c r="BP164" s="161"/>
      <c r="BQ164" s="161"/>
      <c r="BR164" s="161"/>
      <c r="BS164" s="161"/>
      <c r="BT164" s="161"/>
      <c r="BU164" s="161"/>
      <c r="BV164" s="161"/>
      <c r="BW164" s="161"/>
      <c r="BX164" s="161"/>
      <c r="BY164" s="161"/>
      <c r="BZ164" s="161"/>
      <c r="CA164" s="161"/>
      <c r="CB164" s="161"/>
      <c r="CC164" s="161"/>
      <c r="CD164" s="161"/>
      <c r="CE164" s="161"/>
      <c r="CF164" s="161"/>
      <c r="CG164" s="161"/>
      <c r="CH164" s="161"/>
      <c r="CI164" s="161"/>
      <c r="CJ164" s="161"/>
      <c r="CK164" s="161"/>
      <c r="CL164" s="161"/>
      <c r="CM164" s="161"/>
      <c r="CN164" s="161"/>
      <c r="CO164" s="161"/>
      <c r="CP164" s="161"/>
      <c r="CQ164" s="161"/>
      <c r="CR164" s="161"/>
      <c r="CS164" s="161"/>
      <c r="CT164" s="161"/>
      <c r="CU164" s="161"/>
    </row>
    <row r="165" spans="2:99" s="148" customFormat="1">
      <c r="B165" s="5"/>
      <c r="C165" s="5"/>
      <c r="D165" s="6"/>
      <c r="E165" s="5"/>
      <c r="F165" s="5"/>
      <c r="G165" s="6"/>
      <c r="H165" s="5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61"/>
      <c r="Z165" s="161"/>
      <c r="AA165" s="161"/>
      <c r="AB165" s="161"/>
      <c r="AC165" s="161"/>
      <c r="AD165" s="161"/>
      <c r="AE165" s="161"/>
      <c r="AF165" s="161"/>
      <c r="AG165" s="161"/>
      <c r="AH165" s="161"/>
      <c r="AI165" s="161"/>
      <c r="AJ165" s="161"/>
      <c r="AK165" s="161"/>
      <c r="AL165" s="161"/>
      <c r="AM165" s="161"/>
      <c r="AN165" s="161"/>
      <c r="AO165" s="161"/>
      <c r="AP165" s="161"/>
      <c r="AQ165" s="161"/>
      <c r="AR165" s="161"/>
      <c r="AS165" s="161"/>
      <c r="AT165" s="161"/>
      <c r="AU165" s="161"/>
      <c r="AV165" s="161"/>
      <c r="AW165" s="161"/>
      <c r="AX165" s="161"/>
      <c r="AY165" s="161"/>
      <c r="AZ165" s="161"/>
      <c r="BA165" s="161"/>
      <c r="BB165" s="161"/>
      <c r="BC165" s="161"/>
      <c r="BD165" s="161"/>
      <c r="BE165" s="161"/>
      <c r="BF165" s="161"/>
      <c r="BG165" s="161"/>
      <c r="BH165" s="161"/>
      <c r="BI165" s="161"/>
      <c r="BJ165" s="161"/>
      <c r="BK165" s="161"/>
      <c r="BL165" s="161"/>
      <c r="BM165" s="161"/>
      <c r="BN165" s="161"/>
      <c r="BO165" s="161"/>
      <c r="BP165" s="161"/>
      <c r="BQ165" s="161"/>
      <c r="BR165" s="161"/>
      <c r="BS165" s="161"/>
      <c r="BT165" s="161"/>
      <c r="BU165" s="161"/>
      <c r="BV165" s="161"/>
      <c r="BW165" s="161"/>
      <c r="BX165" s="161"/>
      <c r="BY165" s="161"/>
      <c r="BZ165" s="161"/>
      <c r="CA165" s="161"/>
      <c r="CB165" s="161"/>
      <c r="CC165" s="161"/>
      <c r="CD165" s="161"/>
      <c r="CE165" s="161"/>
      <c r="CF165" s="161"/>
      <c r="CG165" s="161"/>
      <c r="CH165" s="161"/>
      <c r="CI165" s="161"/>
      <c r="CJ165" s="161"/>
      <c r="CK165" s="161"/>
      <c r="CL165" s="161"/>
      <c r="CM165" s="161"/>
      <c r="CN165" s="161"/>
      <c r="CO165" s="161"/>
      <c r="CP165" s="161"/>
      <c r="CQ165" s="161"/>
      <c r="CR165" s="161"/>
      <c r="CS165" s="161"/>
      <c r="CT165" s="161"/>
      <c r="CU165" s="161"/>
    </row>
    <row r="166" spans="2:99" s="148" customFormat="1">
      <c r="B166" s="5"/>
      <c r="C166" s="5"/>
      <c r="D166" s="6"/>
      <c r="E166" s="5"/>
      <c r="F166" s="5"/>
      <c r="G166" s="6"/>
      <c r="H166" s="5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61"/>
      <c r="Z166" s="161"/>
      <c r="AA166" s="161"/>
      <c r="AB166" s="161"/>
      <c r="AC166" s="161"/>
      <c r="AD166" s="161"/>
      <c r="AE166" s="161"/>
      <c r="AF166" s="161"/>
      <c r="AG166" s="161"/>
      <c r="AH166" s="161"/>
      <c r="AI166" s="161"/>
      <c r="AJ166" s="161"/>
      <c r="AK166" s="161"/>
      <c r="AL166" s="161"/>
      <c r="AM166" s="161"/>
      <c r="AN166" s="161"/>
      <c r="AO166" s="161"/>
      <c r="AP166" s="161"/>
      <c r="AQ166" s="161"/>
      <c r="AR166" s="161"/>
      <c r="AS166" s="161"/>
      <c r="AT166" s="161"/>
      <c r="AU166" s="161"/>
      <c r="AV166" s="161"/>
      <c r="AW166" s="161"/>
      <c r="AX166" s="161"/>
      <c r="AY166" s="161"/>
      <c r="AZ166" s="161"/>
      <c r="BA166" s="161"/>
      <c r="BB166" s="161"/>
      <c r="BC166" s="161"/>
      <c r="BD166" s="161"/>
      <c r="BE166" s="161"/>
      <c r="BF166" s="161"/>
      <c r="BG166" s="161"/>
      <c r="BH166" s="161"/>
      <c r="BI166" s="161"/>
      <c r="BJ166" s="161"/>
      <c r="BK166" s="161"/>
      <c r="BL166" s="161"/>
      <c r="BM166" s="161"/>
      <c r="BN166" s="161"/>
      <c r="BO166" s="161"/>
      <c r="BP166" s="161"/>
      <c r="BQ166" s="161"/>
      <c r="BR166" s="161"/>
      <c r="BS166" s="161"/>
      <c r="BT166" s="161"/>
      <c r="BU166" s="161"/>
      <c r="BV166" s="161"/>
      <c r="BW166" s="161"/>
      <c r="BX166" s="161"/>
      <c r="BY166" s="161"/>
      <c r="BZ166" s="161"/>
      <c r="CA166" s="161"/>
      <c r="CB166" s="161"/>
      <c r="CC166" s="161"/>
      <c r="CD166" s="161"/>
      <c r="CE166" s="161"/>
      <c r="CF166" s="161"/>
      <c r="CG166" s="161"/>
      <c r="CH166" s="161"/>
      <c r="CI166" s="161"/>
      <c r="CJ166" s="161"/>
      <c r="CK166" s="161"/>
      <c r="CL166" s="161"/>
      <c r="CM166" s="161"/>
      <c r="CN166" s="161"/>
      <c r="CO166" s="161"/>
      <c r="CP166" s="161"/>
      <c r="CQ166" s="161"/>
      <c r="CR166" s="161"/>
      <c r="CS166" s="161"/>
      <c r="CT166" s="161"/>
      <c r="CU166" s="161"/>
    </row>
    <row r="167" spans="2:99" s="148" customFormat="1">
      <c r="B167" s="5"/>
      <c r="C167" s="5"/>
      <c r="D167" s="6"/>
      <c r="E167" s="5"/>
      <c r="F167" s="5"/>
      <c r="G167" s="6"/>
      <c r="H167" s="5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61"/>
      <c r="Z167" s="161"/>
      <c r="AA167" s="161"/>
      <c r="AB167" s="161"/>
      <c r="AC167" s="161"/>
      <c r="AD167" s="161"/>
      <c r="AE167" s="161"/>
      <c r="AF167" s="161"/>
      <c r="AG167" s="161"/>
      <c r="AH167" s="161"/>
      <c r="AI167" s="161"/>
      <c r="AJ167" s="161"/>
      <c r="AK167" s="161"/>
      <c r="AL167" s="161"/>
      <c r="AM167" s="161"/>
      <c r="AN167" s="161"/>
      <c r="AO167" s="161"/>
      <c r="AP167" s="161"/>
      <c r="AQ167" s="161"/>
      <c r="AR167" s="161"/>
      <c r="AS167" s="161"/>
      <c r="AT167" s="161"/>
      <c r="AU167" s="161"/>
      <c r="AV167" s="161"/>
      <c r="AW167" s="161"/>
      <c r="AX167" s="161"/>
      <c r="AY167" s="161"/>
      <c r="AZ167" s="161"/>
      <c r="BA167" s="161"/>
      <c r="BB167" s="161"/>
      <c r="BC167" s="161"/>
      <c r="BD167" s="161"/>
      <c r="BE167" s="161"/>
      <c r="BF167" s="161"/>
      <c r="BG167" s="161"/>
      <c r="BH167" s="161"/>
      <c r="BI167" s="161"/>
      <c r="BJ167" s="161"/>
      <c r="BK167" s="161"/>
      <c r="BL167" s="161"/>
      <c r="BM167" s="161"/>
      <c r="BN167" s="161"/>
      <c r="BO167" s="161"/>
      <c r="BP167" s="161"/>
      <c r="BQ167" s="161"/>
      <c r="BR167" s="161"/>
      <c r="BS167" s="161"/>
      <c r="BT167" s="161"/>
      <c r="BU167" s="161"/>
      <c r="BV167" s="161"/>
      <c r="BW167" s="161"/>
      <c r="BX167" s="161"/>
      <c r="BY167" s="161"/>
      <c r="BZ167" s="161"/>
      <c r="CA167" s="161"/>
      <c r="CB167" s="161"/>
      <c r="CC167" s="161"/>
      <c r="CD167" s="161"/>
      <c r="CE167" s="161"/>
      <c r="CF167" s="161"/>
      <c r="CG167" s="161"/>
      <c r="CH167" s="161"/>
      <c r="CI167" s="161"/>
      <c r="CJ167" s="161"/>
      <c r="CK167" s="161"/>
      <c r="CL167" s="161"/>
      <c r="CM167" s="161"/>
      <c r="CN167" s="161"/>
      <c r="CO167" s="161"/>
      <c r="CP167" s="161"/>
      <c r="CQ167" s="161"/>
      <c r="CR167" s="161"/>
      <c r="CS167" s="161"/>
      <c r="CT167" s="161"/>
      <c r="CU167" s="161"/>
    </row>
    <row r="168" spans="2:99" s="148" customFormat="1">
      <c r="B168" s="5"/>
      <c r="C168" s="5"/>
      <c r="D168" s="6"/>
      <c r="E168" s="5"/>
      <c r="F168" s="5"/>
      <c r="G168" s="6"/>
      <c r="H168" s="5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61"/>
      <c r="Z168" s="161"/>
      <c r="AA168" s="161"/>
      <c r="AB168" s="161"/>
      <c r="AC168" s="161"/>
      <c r="AD168" s="161"/>
      <c r="AE168" s="161"/>
      <c r="AF168" s="161"/>
      <c r="AG168" s="161"/>
      <c r="AH168" s="161"/>
      <c r="AI168" s="161"/>
      <c r="AJ168" s="161"/>
      <c r="AK168" s="161"/>
      <c r="AL168" s="161"/>
      <c r="AM168" s="161"/>
      <c r="AN168" s="161"/>
      <c r="AO168" s="161"/>
      <c r="AP168" s="161"/>
      <c r="AQ168" s="161"/>
      <c r="AR168" s="161"/>
      <c r="AS168" s="161"/>
      <c r="AT168" s="161"/>
      <c r="AU168" s="161"/>
      <c r="AV168" s="161"/>
      <c r="AW168" s="161"/>
      <c r="AX168" s="161"/>
      <c r="AY168" s="161"/>
      <c r="AZ168" s="161"/>
      <c r="BA168" s="161"/>
      <c r="BB168" s="161"/>
      <c r="BC168" s="161"/>
      <c r="BD168" s="161"/>
      <c r="BE168" s="161"/>
      <c r="BF168" s="161"/>
      <c r="BG168" s="161"/>
      <c r="BH168" s="161"/>
      <c r="BI168" s="161"/>
      <c r="BJ168" s="161"/>
      <c r="BK168" s="161"/>
      <c r="BL168" s="161"/>
      <c r="BM168" s="161"/>
      <c r="BN168" s="161"/>
      <c r="BO168" s="161"/>
      <c r="BP168" s="161"/>
      <c r="BQ168" s="161"/>
      <c r="BR168" s="161"/>
      <c r="BS168" s="161"/>
      <c r="BT168" s="161"/>
      <c r="BU168" s="161"/>
      <c r="BV168" s="161"/>
      <c r="BW168" s="161"/>
      <c r="BX168" s="161"/>
      <c r="BY168" s="161"/>
      <c r="BZ168" s="161"/>
      <c r="CA168" s="161"/>
      <c r="CB168" s="161"/>
      <c r="CC168" s="161"/>
      <c r="CD168" s="161"/>
      <c r="CE168" s="161"/>
      <c r="CF168" s="161"/>
      <c r="CG168" s="161"/>
      <c r="CH168" s="161"/>
      <c r="CI168" s="161"/>
      <c r="CJ168" s="161"/>
      <c r="CK168" s="161"/>
      <c r="CL168" s="161"/>
      <c r="CM168" s="161"/>
      <c r="CN168" s="161"/>
      <c r="CO168" s="161"/>
      <c r="CP168" s="161"/>
      <c r="CQ168" s="161"/>
      <c r="CR168" s="161"/>
      <c r="CS168" s="161"/>
      <c r="CT168" s="161"/>
      <c r="CU168" s="161"/>
    </row>
    <row r="169" spans="2:99" s="148" customFormat="1">
      <c r="B169" s="5"/>
      <c r="C169" s="5"/>
      <c r="D169" s="6"/>
      <c r="E169" s="5"/>
      <c r="F169" s="5"/>
      <c r="G169" s="6"/>
      <c r="H169" s="5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61"/>
      <c r="Z169" s="161"/>
      <c r="AA169" s="161"/>
      <c r="AB169" s="161"/>
      <c r="AC169" s="161"/>
      <c r="AD169" s="161"/>
      <c r="AE169" s="161"/>
      <c r="AF169" s="161"/>
      <c r="AG169" s="161"/>
      <c r="AH169" s="161"/>
      <c r="AI169" s="161"/>
      <c r="AJ169" s="161"/>
      <c r="AK169" s="161"/>
      <c r="AL169" s="161"/>
      <c r="AM169" s="161"/>
      <c r="AN169" s="161"/>
      <c r="AO169" s="161"/>
      <c r="AP169" s="161"/>
      <c r="AQ169" s="161"/>
      <c r="AR169" s="161"/>
      <c r="AS169" s="161"/>
      <c r="AT169" s="161"/>
      <c r="AU169" s="161"/>
      <c r="AV169" s="161"/>
      <c r="AW169" s="161"/>
      <c r="AX169" s="161"/>
      <c r="AY169" s="161"/>
      <c r="AZ169" s="161"/>
      <c r="BA169" s="161"/>
      <c r="BB169" s="161"/>
      <c r="BC169" s="161"/>
      <c r="BD169" s="161"/>
      <c r="BE169" s="161"/>
      <c r="BF169" s="161"/>
      <c r="BG169" s="161"/>
      <c r="BH169" s="161"/>
      <c r="BI169" s="161"/>
      <c r="BJ169" s="161"/>
      <c r="BK169" s="161"/>
      <c r="BL169" s="161"/>
      <c r="BM169" s="161"/>
      <c r="BN169" s="161"/>
      <c r="BO169" s="161"/>
      <c r="BP169" s="161"/>
      <c r="BQ169" s="161"/>
      <c r="BR169" s="161"/>
      <c r="BS169" s="161"/>
      <c r="BT169" s="161"/>
      <c r="BU169" s="161"/>
      <c r="BV169" s="161"/>
      <c r="BW169" s="161"/>
      <c r="BX169" s="161"/>
      <c r="BY169" s="161"/>
      <c r="BZ169" s="161"/>
      <c r="CA169" s="161"/>
      <c r="CB169" s="161"/>
      <c r="CC169" s="161"/>
      <c r="CD169" s="161"/>
      <c r="CE169" s="161"/>
      <c r="CF169" s="161"/>
      <c r="CG169" s="161"/>
      <c r="CH169" s="161"/>
      <c r="CI169" s="161"/>
      <c r="CJ169" s="161"/>
      <c r="CK169" s="161"/>
      <c r="CL169" s="161"/>
      <c r="CM169" s="161"/>
      <c r="CN169" s="161"/>
      <c r="CO169" s="161"/>
      <c r="CP169" s="161"/>
      <c r="CQ169" s="161"/>
      <c r="CR169" s="161"/>
      <c r="CS169" s="161"/>
      <c r="CT169" s="161"/>
      <c r="CU169" s="161"/>
    </row>
    <row r="170" spans="2:99" s="148" customFormat="1">
      <c r="B170" s="5"/>
      <c r="C170" s="5"/>
      <c r="D170" s="6"/>
      <c r="E170" s="5"/>
      <c r="F170" s="5"/>
      <c r="G170" s="6"/>
      <c r="H170" s="5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61"/>
      <c r="Z170" s="161"/>
      <c r="AA170" s="161"/>
      <c r="AB170" s="161"/>
      <c r="AC170" s="161"/>
      <c r="AD170" s="161"/>
      <c r="AE170" s="161"/>
      <c r="AF170" s="161"/>
      <c r="AG170" s="161"/>
      <c r="AH170" s="161"/>
      <c r="AI170" s="161"/>
      <c r="AJ170" s="161"/>
      <c r="AK170" s="161"/>
      <c r="AL170" s="161"/>
      <c r="AM170" s="161"/>
      <c r="AN170" s="161"/>
      <c r="AO170" s="161"/>
      <c r="AP170" s="161"/>
      <c r="AQ170" s="161"/>
      <c r="AR170" s="161"/>
      <c r="AS170" s="161"/>
      <c r="AT170" s="161"/>
      <c r="AU170" s="161"/>
      <c r="AV170" s="161"/>
      <c r="AW170" s="161"/>
      <c r="AX170" s="161"/>
      <c r="AY170" s="161"/>
      <c r="AZ170" s="161"/>
      <c r="BA170" s="161"/>
      <c r="BB170" s="161"/>
      <c r="BC170" s="161"/>
      <c r="BD170" s="161"/>
      <c r="BE170" s="161"/>
      <c r="BF170" s="161"/>
      <c r="BG170" s="161"/>
      <c r="BH170" s="161"/>
      <c r="BI170" s="161"/>
      <c r="BJ170" s="161"/>
      <c r="BK170" s="161"/>
      <c r="BL170" s="161"/>
      <c r="BM170" s="161"/>
      <c r="BN170" s="161"/>
      <c r="BO170" s="161"/>
      <c r="BP170" s="161"/>
      <c r="BQ170" s="161"/>
      <c r="BR170" s="161"/>
      <c r="BS170" s="161"/>
      <c r="BT170" s="161"/>
      <c r="BU170" s="161"/>
      <c r="BV170" s="161"/>
      <c r="BW170" s="161"/>
      <c r="BX170" s="161"/>
      <c r="BY170" s="161"/>
      <c r="BZ170" s="161"/>
      <c r="CA170" s="161"/>
      <c r="CB170" s="161"/>
      <c r="CC170" s="161"/>
      <c r="CD170" s="161"/>
      <c r="CE170" s="161"/>
      <c r="CF170" s="161"/>
      <c r="CG170" s="161"/>
      <c r="CH170" s="161"/>
      <c r="CI170" s="161"/>
      <c r="CJ170" s="161"/>
      <c r="CK170" s="161"/>
      <c r="CL170" s="161"/>
      <c r="CM170" s="161"/>
      <c r="CN170" s="161"/>
      <c r="CO170" s="161"/>
      <c r="CP170" s="161"/>
      <c r="CQ170" s="161"/>
      <c r="CR170" s="161"/>
      <c r="CS170" s="161"/>
      <c r="CT170" s="161"/>
      <c r="CU170" s="161"/>
    </row>
    <row r="171" spans="2:99" s="148" customFormat="1">
      <c r="B171" s="5"/>
      <c r="C171" s="5"/>
      <c r="D171" s="6"/>
      <c r="E171" s="5"/>
      <c r="F171" s="5"/>
      <c r="G171" s="6"/>
      <c r="H171" s="5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61"/>
      <c r="Z171" s="161"/>
      <c r="AA171" s="161"/>
      <c r="AB171" s="161"/>
      <c r="AC171" s="161"/>
      <c r="AD171" s="161"/>
      <c r="AE171" s="161"/>
      <c r="AF171" s="161"/>
      <c r="AG171" s="161"/>
      <c r="AH171" s="161"/>
      <c r="AI171" s="161"/>
      <c r="AJ171" s="161"/>
      <c r="AK171" s="161"/>
      <c r="AL171" s="161"/>
      <c r="AM171" s="161"/>
      <c r="AN171" s="161"/>
      <c r="AO171" s="161"/>
      <c r="AP171" s="161"/>
      <c r="AQ171" s="161"/>
      <c r="AR171" s="161"/>
      <c r="AS171" s="161"/>
      <c r="AT171" s="161"/>
      <c r="AU171" s="161"/>
      <c r="AV171" s="161"/>
      <c r="AW171" s="161"/>
      <c r="AX171" s="161"/>
      <c r="AY171" s="161"/>
      <c r="AZ171" s="161"/>
      <c r="BA171" s="161"/>
      <c r="BB171" s="161"/>
      <c r="BC171" s="161"/>
      <c r="BD171" s="161"/>
      <c r="BE171" s="161"/>
      <c r="BF171" s="161"/>
      <c r="BG171" s="161"/>
      <c r="BH171" s="161"/>
      <c r="BI171" s="161"/>
      <c r="BJ171" s="161"/>
      <c r="BK171" s="161"/>
      <c r="BL171" s="161"/>
      <c r="BM171" s="161"/>
      <c r="BN171" s="161"/>
      <c r="BO171" s="161"/>
      <c r="BP171" s="161"/>
      <c r="BQ171" s="161"/>
      <c r="BR171" s="161"/>
      <c r="BS171" s="161"/>
      <c r="BT171" s="161"/>
      <c r="BU171" s="161"/>
      <c r="BV171" s="161"/>
      <c r="BW171" s="161"/>
      <c r="BX171" s="161"/>
      <c r="BY171" s="161"/>
      <c r="BZ171" s="161"/>
      <c r="CA171" s="161"/>
      <c r="CB171" s="161"/>
      <c r="CC171" s="161"/>
      <c r="CD171" s="161"/>
      <c r="CE171" s="161"/>
      <c r="CF171" s="161"/>
      <c r="CG171" s="161"/>
      <c r="CH171" s="161"/>
      <c r="CI171" s="161"/>
      <c r="CJ171" s="161"/>
      <c r="CK171" s="161"/>
      <c r="CL171" s="161"/>
      <c r="CM171" s="161"/>
      <c r="CN171" s="161"/>
      <c r="CO171" s="161"/>
      <c r="CP171" s="161"/>
      <c r="CQ171" s="161"/>
      <c r="CR171" s="161"/>
      <c r="CS171" s="161"/>
      <c r="CT171" s="161"/>
      <c r="CU171" s="161"/>
    </row>
    <row r="172" spans="2:99" s="148" customFormat="1">
      <c r="B172" s="5"/>
      <c r="C172" s="5"/>
      <c r="D172" s="6"/>
      <c r="E172" s="5"/>
      <c r="F172" s="5"/>
      <c r="G172" s="6"/>
      <c r="H172" s="5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161"/>
      <c r="AD172" s="161"/>
      <c r="AE172" s="161"/>
      <c r="AF172" s="161"/>
      <c r="AG172" s="161"/>
      <c r="AH172" s="161"/>
      <c r="AI172" s="161"/>
      <c r="AJ172" s="161"/>
      <c r="AK172" s="161"/>
      <c r="AL172" s="161"/>
      <c r="AM172" s="161"/>
      <c r="AN172" s="161"/>
      <c r="AO172" s="161"/>
      <c r="AP172" s="161"/>
      <c r="AQ172" s="161"/>
      <c r="AR172" s="161"/>
      <c r="AS172" s="161"/>
      <c r="AT172" s="161"/>
      <c r="AU172" s="161"/>
      <c r="AV172" s="161"/>
      <c r="AW172" s="161"/>
      <c r="AX172" s="161"/>
      <c r="AY172" s="161"/>
      <c r="AZ172" s="161"/>
      <c r="BA172" s="161"/>
      <c r="BB172" s="161"/>
      <c r="BC172" s="161"/>
      <c r="BD172" s="161"/>
      <c r="BE172" s="161"/>
      <c r="BF172" s="161"/>
      <c r="BG172" s="161"/>
      <c r="BH172" s="161"/>
      <c r="BI172" s="161"/>
      <c r="BJ172" s="161"/>
      <c r="BK172" s="161"/>
      <c r="BL172" s="161"/>
      <c r="BM172" s="161"/>
      <c r="BN172" s="161"/>
      <c r="BO172" s="161"/>
      <c r="BP172" s="161"/>
      <c r="BQ172" s="161"/>
      <c r="BR172" s="161"/>
      <c r="BS172" s="161"/>
      <c r="BT172" s="161"/>
      <c r="BU172" s="161"/>
      <c r="BV172" s="161"/>
      <c r="BW172" s="161"/>
      <c r="BX172" s="161"/>
      <c r="BY172" s="161"/>
      <c r="BZ172" s="161"/>
      <c r="CA172" s="161"/>
      <c r="CB172" s="161"/>
      <c r="CC172" s="161"/>
      <c r="CD172" s="161"/>
      <c r="CE172" s="161"/>
      <c r="CF172" s="161"/>
      <c r="CG172" s="161"/>
      <c r="CH172" s="161"/>
      <c r="CI172" s="161"/>
      <c r="CJ172" s="161"/>
      <c r="CK172" s="161"/>
      <c r="CL172" s="161"/>
      <c r="CM172" s="161"/>
      <c r="CN172" s="161"/>
      <c r="CO172" s="161"/>
      <c r="CP172" s="161"/>
      <c r="CQ172" s="161"/>
      <c r="CR172" s="161"/>
      <c r="CS172" s="161"/>
      <c r="CT172" s="161"/>
      <c r="CU172" s="161"/>
    </row>
    <row r="173" spans="2:99" s="148" customFormat="1">
      <c r="B173" s="5"/>
      <c r="C173" s="5"/>
      <c r="D173" s="6"/>
      <c r="E173" s="5"/>
      <c r="F173" s="5"/>
      <c r="G173" s="6"/>
      <c r="H173" s="5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61"/>
      <c r="Z173" s="161"/>
      <c r="AA173" s="161"/>
      <c r="AB173" s="161"/>
      <c r="AC173" s="161"/>
      <c r="AD173" s="161"/>
      <c r="AE173" s="161"/>
      <c r="AF173" s="161"/>
      <c r="AG173" s="161"/>
      <c r="AH173" s="161"/>
      <c r="AI173" s="161"/>
      <c r="AJ173" s="161"/>
      <c r="AK173" s="161"/>
      <c r="AL173" s="161"/>
      <c r="AM173" s="161"/>
      <c r="AN173" s="161"/>
      <c r="AO173" s="161"/>
      <c r="AP173" s="161"/>
      <c r="AQ173" s="161"/>
      <c r="AR173" s="161"/>
      <c r="AS173" s="161"/>
      <c r="AT173" s="161"/>
      <c r="AU173" s="161"/>
      <c r="AV173" s="161"/>
      <c r="AW173" s="161"/>
      <c r="AX173" s="161"/>
      <c r="AY173" s="161"/>
      <c r="AZ173" s="161"/>
      <c r="BA173" s="161"/>
      <c r="BB173" s="161"/>
      <c r="BC173" s="161"/>
      <c r="BD173" s="161"/>
      <c r="BE173" s="161"/>
      <c r="BF173" s="161"/>
      <c r="BG173" s="161"/>
      <c r="BH173" s="161"/>
      <c r="BI173" s="161"/>
      <c r="BJ173" s="161"/>
      <c r="BK173" s="161"/>
      <c r="BL173" s="161"/>
      <c r="BM173" s="161"/>
      <c r="BN173" s="161"/>
      <c r="BO173" s="161"/>
      <c r="BP173" s="161"/>
      <c r="BQ173" s="161"/>
      <c r="BR173" s="161"/>
      <c r="BS173" s="161"/>
      <c r="BT173" s="161"/>
      <c r="BU173" s="161"/>
      <c r="BV173" s="161"/>
      <c r="BW173" s="161"/>
      <c r="BX173" s="161"/>
      <c r="BY173" s="161"/>
      <c r="BZ173" s="161"/>
      <c r="CA173" s="161"/>
      <c r="CB173" s="161"/>
      <c r="CC173" s="161"/>
      <c r="CD173" s="161"/>
      <c r="CE173" s="161"/>
      <c r="CF173" s="161"/>
      <c r="CG173" s="161"/>
      <c r="CH173" s="161"/>
      <c r="CI173" s="161"/>
      <c r="CJ173" s="161"/>
      <c r="CK173" s="161"/>
      <c r="CL173" s="161"/>
      <c r="CM173" s="161"/>
      <c r="CN173" s="161"/>
      <c r="CO173" s="161"/>
      <c r="CP173" s="161"/>
      <c r="CQ173" s="161"/>
      <c r="CR173" s="161"/>
      <c r="CS173" s="161"/>
      <c r="CT173" s="161"/>
      <c r="CU173" s="161"/>
    </row>
    <row r="174" spans="2:99" s="148" customFormat="1">
      <c r="B174" s="5"/>
      <c r="C174" s="5"/>
      <c r="D174" s="6"/>
      <c r="E174" s="5"/>
      <c r="F174" s="5"/>
      <c r="G174" s="6"/>
      <c r="H174" s="5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61"/>
      <c r="Z174" s="161"/>
      <c r="AA174" s="161"/>
      <c r="AB174" s="161"/>
      <c r="AC174" s="161"/>
      <c r="AD174" s="161"/>
      <c r="AE174" s="161"/>
      <c r="AF174" s="161"/>
      <c r="AG174" s="161"/>
      <c r="AH174" s="161"/>
      <c r="AI174" s="161"/>
      <c r="AJ174" s="161"/>
      <c r="AK174" s="161"/>
      <c r="AL174" s="161"/>
      <c r="AM174" s="161"/>
      <c r="AN174" s="161"/>
      <c r="AO174" s="161"/>
      <c r="AP174" s="161"/>
      <c r="AQ174" s="161"/>
      <c r="AR174" s="161"/>
      <c r="AS174" s="161"/>
      <c r="AT174" s="161"/>
      <c r="AU174" s="161"/>
      <c r="AV174" s="161"/>
      <c r="AW174" s="161"/>
      <c r="AX174" s="161"/>
      <c r="AY174" s="161"/>
      <c r="AZ174" s="161"/>
      <c r="BA174" s="161"/>
      <c r="BB174" s="161"/>
      <c r="BC174" s="161"/>
      <c r="BD174" s="161"/>
      <c r="BE174" s="161"/>
      <c r="BF174" s="161"/>
      <c r="BG174" s="161"/>
      <c r="BH174" s="161"/>
      <c r="BI174" s="161"/>
      <c r="BJ174" s="161"/>
      <c r="BK174" s="161"/>
      <c r="BL174" s="161"/>
      <c r="BM174" s="161"/>
      <c r="BN174" s="161"/>
      <c r="BO174" s="161"/>
      <c r="BP174" s="161"/>
      <c r="BQ174" s="161"/>
      <c r="BR174" s="161"/>
      <c r="BS174" s="161"/>
      <c r="BT174" s="161"/>
      <c r="BU174" s="161"/>
      <c r="BV174" s="161"/>
      <c r="BW174" s="161"/>
      <c r="BX174" s="161"/>
      <c r="BY174" s="161"/>
      <c r="BZ174" s="161"/>
      <c r="CA174" s="161"/>
      <c r="CB174" s="161"/>
      <c r="CC174" s="161"/>
      <c r="CD174" s="161"/>
      <c r="CE174" s="161"/>
      <c r="CF174" s="161"/>
      <c r="CG174" s="161"/>
      <c r="CH174" s="161"/>
      <c r="CI174" s="161"/>
      <c r="CJ174" s="161"/>
      <c r="CK174" s="161"/>
      <c r="CL174" s="161"/>
      <c r="CM174" s="161"/>
      <c r="CN174" s="161"/>
      <c r="CO174" s="161"/>
      <c r="CP174" s="161"/>
      <c r="CQ174" s="161"/>
      <c r="CR174" s="161"/>
      <c r="CS174" s="161"/>
      <c r="CT174" s="161"/>
      <c r="CU174" s="161"/>
    </row>
    <row r="175" spans="2:99" s="148" customFormat="1">
      <c r="B175" s="5"/>
      <c r="C175" s="5"/>
      <c r="D175" s="6"/>
      <c r="E175" s="5"/>
      <c r="F175" s="5"/>
      <c r="G175" s="6"/>
      <c r="H175" s="5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61"/>
      <c r="Z175" s="161"/>
      <c r="AA175" s="161"/>
      <c r="AB175" s="161"/>
      <c r="AC175" s="161"/>
      <c r="AD175" s="161"/>
      <c r="AE175" s="161"/>
      <c r="AF175" s="161"/>
      <c r="AG175" s="161"/>
      <c r="AH175" s="161"/>
      <c r="AI175" s="161"/>
      <c r="AJ175" s="161"/>
      <c r="AK175" s="161"/>
      <c r="AL175" s="161"/>
      <c r="AM175" s="161"/>
      <c r="AN175" s="161"/>
      <c r="AO175" s="161"/>
      <c r="AP175" s="161"/>
      <c r="AQ175" s="161"/>
      <c r="AR175" s="161"/>
      <c r="AS175" s="161"/>
      <c r="AT175" s="161"/>
      <c r="AU175" s="161"/>
      <c r="AV175" s="161"/>
      <c r="AW175" s="161"/>
      <c r="AX175" s="161"/>
      <c r="AY175" s="161"/>
      <c r="AZ175" s="161"/>
      <c r="BA175" s="161"/>
      <c r="BB175" s="161"/>
      <c r="BC175" s="161"/>
      <c r="BD175" s="161"/>
      <c r="BE175" s="161"/>
      <c r="BF175" s="161"/>
      <c r="BG175" s="161"/>
      <c r="BH175" s="161"/>
      <c r="BI175" s="161"/>
      <c r="BJ175" s="161"/>
      <c r="BK175" s="161"/>
      <c r="BL175" s="161"/>
      <c r="BM175" s="161"/>
      <c r="BN175" s="161"/>
      <c r="BO175" s="161"/>
      <c r="BP175" s="161"/>
      <c r="BQ175" s="161"/>
      <c r="BR175" s="161"/>
      <c r="BS175" s="161"/>
      <c r="BT175" s="161"/>
      <c r="BU175" s="161"/>
      <c r="BV175" s="161"/>
      <c r="BW175" s="161"/>
      <c r="BX175" s="161"/>
      <c r="BY175" s="161"/>
      <c r="BZ175" s="161"/>
      <c r="CA175" s="161"/>
      <c r="CB175" s="161"/>
      <c r="CC175" s="161"/>
      <c r="CD175" s="161"/>
      <c r="CE175" s="161"/>
      <c r="CF175" s="161"/>
      <c r="CG175" s="161"/>
      <c r="CH175" s="161"/>
      <c r="CI175" s="161"/>
      <c r="CJ175" s="161"/>
      <c r="CK175" s="161"/>
      <c r="CL175" s="161"/>
      <c r="CM175" s="161"/>
      <c r="CN175" s="161"/>
      <c r="CO175" s="161"/>
      <c r="CP175" s="161"/>
      <c r="CQ175" s="161"/>
      <c r="CR175" s="161"/>
      <c r="CS175" s="161"/>
      <c r="CT175" s="161"/>
      <c r="CU175" s="161"/>
    </row>
    <row r="176" spans="2:99" s="148" customFormat="1">
      <c r="B176" s="5"/>
      <c r="C176" s="5"/>
      <c r="D176" s="6"/>
      <c r="E176" s="5"/>
      <c r="F176" s="5"/>
      <c r="G176" s="6"/>
      <c r="H176" s="5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61"/>
      <c r="Z176" s="161"/>
      <c r="AA176" s="161"/>
      <c r="AB176" s="161"/>
      <c r="AC176" s="161"/>
      <c r="AD176" s="161"/>
      <c r="AE176" s="161"/>
      <c r="AF176" s="161"/>
      <c r="AG176" s="161"/>
      <c r="AH176" s="161"/>
      <c r="AI176" s="161"/>
      <c r="AJ176" s="161"/>
      <c r="AK176" s="161"/>
      <c r="AL176" s="161"/>
      <c r="AM176" s="161"/>
      <c r="AN176" s="161"/>
      <c r="AO176" s="161"/>
      <c r="AP176" s="161"/>
      <c r="AQ176" s="161"/>
      <c r="AR176" s="161"/>
      <c r="AS176" s="161"/>
      <c r="AT176" s="161"/>
      <c r="AU176" s="161"/>
      <c r="AV176" s="161"/>
      <c r="AW176" s="161"/>
      <c r="AX176" s="161"/>
      <c r="AY176" s="161"/>
      <c r="AZ176" s="161"/>
      <c r="BA176" s="161"/>
      <c r="BB176" s="161"/>
      <c r="BC176" s="161"/>
      <c r="BD176" s="161"/>
      <c r="BE176" s="161"/>
      <c r="BF176" s="161"/>
      <c r="BG176" s="161"/>
      <c r="BH176" s="161"/>
      <c r="BI176" s="161"/>
      <c r="BJ176" s="161"/>
      <c r="BK176" s="161"/>
      <c r="BL176" s="161"/>
      <c r="BM176" s="161"/>
      <c r="BN176" s="161"/>
      <c r="BO176" s="161"/>
      <c r="BP176" s="161"/>
      <c r="BQ176" s="161"/>
      <c r="BR176" s="161"/>
      <c r="BS176" s="161"/>
      <c r="BT176" s="161"/>
      <c r="BU176" s="161"/>
      <c r="BV176" s="161"/>
      <c r="BW176" s="161"/>
      <c r="BX176" s="161"/>
      <c r="BY176" s="161"/>
      <c r="BZ176" s="161"/>
      <c r="CA176" s="161"/>
      <c r="CB176" s="161"/>
      <c r="CC176" s="161"/>
      <c r="CD176" s="161"/>
      <c r="CE176" s="161"/>
      <c r="CF176" s="161"/>
      <c r="CG176" s="161"/>
      <c r="CH176" s="161"/>
      <c r="CI176" s="161"/>
      <c r="CJ176" s="161"/>
      <c r="CK176" s="161"/>
      <c r="CL176" s="161"/>
      <c r="CM176" s="161"/>
      <c r="CN176" s="161"/>
      <c r="CO176" s="161"/>
      <c r="CP176" s="161"/>
      <c r="CQ176" s="161"/>
      <c r="CR176" s="161"/>
      <c r="CS176" s="161"/>
      <c r="CT176" s="161"/>
      <c r="CU176" s="161"/>
    </row>
    <row r="177" spans="2:99" s="148" customFormat="1">
      <c r="B177" s="5"/>
      <c r="C177" s="5"/>
      <c r="D177" s="6"/>
      <c r="E177" s="5"/>
      <c r="F177" s="5"/>
      <c r="G177" s="6"/>
      <c r="H177" s="5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61"/>
      <c r="Z177" s="161"/>
      <c r="AA177" s="161"/>
      <c r="AB177" s="161"/>
      <c r="AC177" s="161"/>
      <c r="AD177" s="161"/>
      <c r="AE177" s="161"/>
      <c r="AF177" s="161"/>
      <c r="AG177" s="161"/>
      <c r="AH177" s="161"/>
      <c r="AI177" s="161"/>
      <c r="AJ177" s="161"/>
      <c r="AK177" s="161"/>
      <c r="AL177" s="161"/>
      <c r="AM177" s="161"/>
      <c r="AN177" s="161"/>
      <c r="AO177" s="161"/>
      <c r="AP177" s="161"/>
      <c r="AQ177" s="161"/>
      <c r="AR177" s="161"/>
      <c r="AS177" s="161"/>
      <c r="AT177" s="161"/>
      <c r="AU177" s="161"/>
      <c r="AV177" s="161"/>
      <c r="AW177" s="161"/>
      <c r="AX177" s="161"/>
      <c r="AY177" s="161"/>
      <c r="AZ177" s="161"/>
      <c r="BA177" s="161"/>
      <c r="BB177" s="161"/>
      <c r="BC177" s="161"/>
      <c r="BD177" s="161"/>
      <c r="BE177" s="161"/>
      <c r="BF177" s="161"/>
      <c r="BG177" s="161"/>
      <c r="BH177" s="161"/>
      <c r="BI177" s="161"/>
      <c r="BJ177" s="161"/>
      <c r="BK177" s="161"/>
      <c r="BL177" s="161"/>
      <c r="BM177" s="161"/>
      <c r="BN177" s="161"/>
      <c r="BO177" s="161"/>
      <c r="BP177" s="161"/>
      <c r="BQ177" s="161"/>
      <c r="BR177" s="161"/>
      <c r="BS177" s="161"/>
      <c r="BT177" s="161"/>
      <c r="BU177" s="161"/>
      <c r="BV177" s="161"/>
      <c r="BW177" s="161"/>
      <c r="BX177" s="161"/>
      <c r="BY177" s="161"/>
      <c r="BZ177" s="161"/>
      <c r="CA177" s="161"/>
      <c r="CB177" s="161"/>
      <c r="CC177" s="161"/>
      <c r="CD177" s="161"/>
      <c r="CE177" s="161"/>
      <c r="CF177" s="161"/>
      <c r="CG177" s="161"/>
      <c r="CH177" s="161"/>
      <c r="CI177" s="161"/>
      <c r="CJ177" s="161"/>
      <c r="CK177" s="161"/>
      <c r="CL177" s="161"/>
      <c r="CM177" s="161"/>
      <c r="CN177" s="161"/>
      <c r="CO177" s="161"/>
      <c r="CP177" s="161"/>
      <c r="CQ177" s="161"/>
      <c r="CR177" s="161"/>
      <c r="CS177" s="161"/>
      <c r="CT177" s="161"/>
      <c r="CU177" s="161"/>
    </row>
    <row r="178" spans="2:99" s="148" customFormat="1">
      <c r="B178" s="5"/>
      <c r="C178" s="5"/>
      <c r="D178" s="6"/>
      <c r="E178" s="5"/>
      <c r="F178" s="5"/>
      <c r="G178" s="6"/>
      <c r="H178" s="5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61"/>
      <c r="Z178" s="161"/>
      <c r="AA178" s="161"/>
      <c r="AB178" s="161"/>
      <c r="AC178" s="161"/>
      <c r="AD178" s="161"/>
      <c r="AE178" s="161"/>
      <c r="AF178" s="161"/>
      <c r="AG178" s="161"/>
      <c r="AH178" s="161"/>
      <c r="AI178" s="161"/>
      <c r="AJ178" s="161"/>
      <c r="AK178" s="161"/>
      <c r="AL178" s="161"/>
      <c r="AM178" s="161"/>
      <c r="AN178" s="161"/>
      <c r="AO178" s="161"/>
      <c r="AP178" s="161"/>
      <c r="AQ178" s="161"/>
      <c r="AR178" s="161"/>
      <c r="AS178" s="161"/>
      <c r="AT178" s="161"/>
      <c r="AU178" s="161"/>
      <c r="AV178" s="161"/>
      <c r="AW178" s="161"/>
      <c r="AX178" s="161"/>
      <c r="AY178" s="161"/>
      <c r="AZ178" s="161"/>
      <c r="BA178" s="161"/>
      <c r="BB178" s="161"/>
      <c r="BC178" s="161"/>
      <c r="BD178" s="161"/>
      <c r="BE178" s="161"/>
      <c r="BF178" s="161"/>
      <c r="BG178" s="161"/>
      <c r="BH178" s="161"/>
      <c r="BI178" s="161"/>
      <c r="BJ178" s="161"/>
      <c r="BK178" s="161"/>
      <c r="BL178" s="161"/>
      <c r="BM178" s="161"/>
      <c r="BN178" s="161"/>
      <c r="BO178" s="161"/>
      <c r="BP178" s="161"/>
      <c r="BQ178" s="161"/>
      <c r="BR178" s="161"/>
      <c r="BS178" s="161"/>
      <c r="BT178" s="161"/>
      <c r="BU178" s="161"/>
      <c r="BV178" s="161"/>
      <c r="BW178" s="161"/>
      <c r="BX178" s="161"/>
      <c r="BY178" s="161"/>
      <c r="BZ178" s="161"/>
      <c r="CA178" s="161"/>
      <c r="CB178" s="161"/>
      <c r="CC178" s="161"/>
      <c r="CD178" s="161"/>
      <c r="CE178" s="161"/>
      <c r="CF178" s="161"/>
      <c r="CG178" s="161"/>
      <c r="CH178" s="161"/>
      <c r="CI178" s="161"/>
      <c r="CJ178" s="161"/>
      <c r="CK178" s="161"/>
      <c r="CL178" s="161"/>
      <c r="CM178" s="161"/>
      <c r="CN178" s="161"/>
      <c r="CO178" s="161"/>
      <c r="CP178" s="161"/>
      <c r="CQ178" s="161"/>
      <c r="CR178" s="161"/>
      <c r="CS178" s="161"/>
      <c r="CT178" s="161"/>
      <c r="CU178" s="161"/>
    </row>
    <row r="179" spans="2:99" s="148" customFormat="1">
      <c r="B179" s="5"/>
      <c r="C179" s="5"/>
      <c r="D179" s="6"/>
      <c r="E179" s="5"/>
      <c r="F179" s="5"/>
      <c r="G179" s="6"/>
      <c r="H179" s="5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61"/>
      <c r="Z179" s="161"/>
      <c r="AA179" s="161"/>
      <c r="AB179" s="161"/>
      <c r="AC179" s="161"/>
      <c r="AD179" s="161"/>
      <c r="AE179" s="161"/>
      <c r="AF179" s="161"/>
      <c r="AG179" s="161"/>
      <c r="AH179" s="161"/>
      <c r="AI179" s="161"/>
      <c r="AJ179" s="161"/>
      <c r="AK179" s="161"/>
      <c r="AL179" s="161"/>
      <c r="AM179" s="161"/>
      <c r="AN179" s="161"/>
      <c r="AO179" s="161"/>
      <c r="AP179" s="161"/>
      <c r="AQ179" s="161"/>
      <c r="AR179" s="161"/>
      <c r="AS179" s="161"/>
      <c r="AT179" s="161"/>
      <c r="AU179" s="161"/>
      <c r="AV179" s="161"/>
      <c r="AW179" s="161"/>
      <c r="AX179" s="161"/>
      <c r="AY179" s="161"/>
      <c r="AZ179" s="161"/>
      <c r="BA179" s="161"/>
      <c r="BB179" s="161"/>
      <c r="BC179" s="161"/>
      <c r="BD179" s="161"/>
      <c r="BE179" s="161"/>
      <c r="BF179" s="161"/>
      <c r="BG179" s="161"/>
      <c r="BH179" s="161"/>
      <c r="BI179" s="161"/>
      <c r="BJ179" s="161"/>
      <c r="BK179" s="161"/>
      <c r="BL179" s="161"/>
      <c r="BM179" s="161"/>
      <c r="BN179" s="161"/>
      <c r="BO179" s="161"/>
      <c r="BP179" s="161"/>
      <c r="BQ179" s="161"/>
      <c r="BR179" s="161"/>
      <c r="BS179" s="161"/>
      <c r="BT179" s="161"/>
      <c r="BU179" s="161"/>
      <c r="BV179" s="161"/>
      <c r="BW179" s="161"/>
      <c r="BX179" s="161"/>
      <c r="BY179" s="161"/>
      <c r="BZ179" s="161"/>
      <c r="CA179" s="161"/>
      <c r="CB179" s="161"/>
      <c r="CC179" s="161"/>
      <c r="CD179" s="161"/>
      <c r="CE179" s="161"/>
      <c r="CF179" s="161"/>
      <c r="CG179" s="161"/>
      <c r="CH179" s="161"/>
      <c r="CI179" s="161"/>
      <c r="CJ179" s="161"/>
      <c r="CK179" s="161"/>
      <c r="CL179" s="161"/>
      <c r="CM179" s="161"/>
      <c r="CN179" s="161"/>
      <c r="CO179" s="161"/>
      <c r="CP179" s="161"/>
      <c r="CQ179" s="161"/>
      <c r="CR179" s="161"/>
      <c r="CS179" s="161"/>
      <c r="CT179" s="161"/>
      <c r="CU179" s="161"/>
    </row>
    <row r="180" spans="2:99" s="148" customFormat="1">
      <c r="B180" s="5"/>
      <c r="C180" s="5"/>
      <c r="D180" s="6"/>
      <c r="E180" s="5"/>
      <c r="F180" s="5"/>
      <c r="G180" s="6"/>
      <c r="H180" s="5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61"/>
      <c r="Z180" s="161"/>
      <c r="AA180" s="161"/>
      <c r="AB180" s="161"/>
      <c r="AC180" s="161"/>
      <c r="AD180" s="161"/>
      <c r="AE180" s="161"/>
      <c r="AF180" s="161"/>
      <c r="AG180" s="161"/>
      <c r="AH180" s="161"/>
      <c r="AI180" s="161"/>
      <c r="AJ180" s="161"/>
      <c r="AK180" s="161"/>
      <c r="AL180" s="161"/>
      <c r="AM180" s="161"/>
      <c r="AN180" s="161"/>
      <c r="AO180" s="161"/>
      <c r="AP180" s="161"/>
      <c r="AQ180" s="161"/>
      <c r="AR180" s="161"/>
      <c r="AS180" s="161"/>
      <c r="AT180" s="161"/>
      <c r="AU180" s="161"/>
      <c r="AV180" s="161"/>
      <c r="AW180" s="161"/>
      <c r="AX180" s="161"/>
      <c r="AY180" s="161"/>
      <c r="AZ180" s="161"/>
      <c r="BA180" s="161"/>
      <c r="BB180" s="161"/>
      <c r="BC180" s="161"/>
      <c r="BD180" s="161"/>
      <c r="BE180" s="161"/>
      <c r="BF180" s="161"/>
      <c r="BG180" s="161"/>
      <c r="BH180" s="161"/>
      <c r="BI180" s="161"/>
      <c r="BJ180" s="161"/>
      <c r="BK180" s="161"/>
      <c r="BL180" s="161"/>
      <c r="BM180" s="161"/>
      <c r="BN180" s="161"/>
      <c r="BO180" s="161"/>
      <c r="BP180" s="161"/>
      <c r="BQ180" s="161"/>
      <c r="BR180" s="161"/>
      <c r="BS180" s="161"/>
      <c r="BT180" s="161"/>
      <c r="BU180" s="161"/>
      <c r="BV180" s="161"/>
      <c r="BW180" s="161"/>
      <c r="BX180" s="161"/>
      <c r="BY180" s="161"/>
      <c r="BZ180" s="161"/>
      <c r="CA180" s="161"/>
      <c r="CB180" s="161"/>
      <c r="CC180" s="161"/>
      <c r="CD180" s="161"/>
      <c r="CE180" s="161"/>
      <c r="CF180" s="161"/>
      <c r="CG180" s="161"/>
      <c r="CH180" s="161"/>
      <c r="CI180" s="161"/>
      <c r="CJ180" s="161"/>
      <c r="CK180" s="161"/>
      <c r="CL180" s="161"/>
      <c r="CM180" s="161"/>
      <c r="CN180" s="161"/>
      <c r="CO180" s="161"/>
      <c r="CP180" s="161"/>
      <c r="CQ180" s="161"/>
      <c r="CR180" s="161"/>
      <c r="CS180" s="161"/>
      <c r="CT180" s="161"/>
      <c r="CU180" s="161"/>
    </row>
  </sheetData>
  <mergeCells count="14">
    <mergeCell ref="H12:H13"/>
    <mergeCell ref="B12:B13"/>
    <mergeCell ref="B6:B8"/>
    <mergeCell ref="B9:B11"/>
    <mergeCell ref="H6:H8"/>
    <mergeCell ref="H9:H11"/>
    <mergeCell ref="B2:H2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78740157480314965" bottom="0.78740157480314965" header="0.31496062992125984" footer="0.31496062992125984"/>
  <pageSetup paperSize="9" scale="39" orientation="landscape" horizontalDpi="4294967295" verticalDpi="4294967295" r:id="rId1"/>
  <rowBreaks count="1" manualBreakCount="1">
    <brk id="15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</sheetPr>
  <dimension ref="A1:K53"/>
  <sheetViews>
    <sheetView zoomScale="70" zoomScaleNormal="70" zoomScaleSheetLayoutView="70" workbookViewId="0">
      <selection activeCell="N22" sqref="N22"/>
    </sheetView>
  </sheetViews>
  <sheetFormatPr defaultColWidth="9.109375" defaultRowHeight="13.2"/>
  <cols>
    <col min="1" max="1" width="7" style="65" customWidth="1"/>
    <col min="2" max="2" width="48.44140625" style="65" bestFit="1" customWidth="1"/>
    <col min="3" max="3" width="34" style="65" bestFit="1" customWidth="1"/>
    <col min="4" max="4" width="24.6640625" style="65" bestFit="1" customWidth="1"/>
    <col min="5" max="6" width="16.44140625" style="65" customWidth="1"/>
    <col min="7" max="8" width="15" style="65" customWidth="1"/>
    <col min="9" max="9" width="13.5546875" style="65" customWidth="1"/>
    <col min="10" max="10" width="9.109375" style="65" hidden="1" customWidth="1"/>
    <col min="11" max="11" width="15" style="65" hidden="1" customWidth="1"/>
    <col min="12" max="12" width="12.88671875" style="65" bestFit="1" customWidth="1"/>
    <col min="13" max="13" width="9.44140625" style="65" bestFit="1" customWidth="1"/>
    <col min="14" max="16384" width="9.109375" style="65"/>
  </cols>
  <sheetData>
    <row r="1" spans="1:11" ht="15" customHeight="1">
      <c r="A1" s="569" t="s">
        <v>120</v>
      </c>
      <c r="B1" s="569"/>
      <c r="C1" s="569"/>
      <c r="D1" s="569"/>
      <c r="E1" s="569"/>
      <c r="F1" s="569"/>
      <c r="G1" s="569"/>
      <c r="H1" s="569"/>
    </row>
    <row r="2" spans="1:11" ht="6" customHeight="1">
      <c r="A2" s="208"/>
      <c r="B2" s="208"/>
      <c r="C2" s="208"/>
      <c r="D2" s="208"/>
      <c r="E2" s="208"/>
      <c r="F2" s="252"/>
      <c r="G2" s="208"/>
      <c r="H2" s="208"/>
    </row>
    <row r="3" spans="1:11" ht="15" customHeight="1">
      <c r="A3" s="570" t="s">
        <v>121</v>
      </c>
      <c r="B3" s="570"/>
      <c r="C3" s="570"/>
      <c r="D3" s="570"/>
      <c r="E3" s="570"/>
      <c r="F3" s="570"/>
      <c r="G3" s="570"/>
      <c r="H3" s="570"/>
    </row>
    <row r="4" spans="1:11" ht="6" customHeight="1">
      <c r="A4" s="66"/>
      <c r="B4" s="67"/>
      <c r="C4" s="67"/>
      <c r="D4" s="66"/>
      <c r="E4" s="66"/>
      <c r="F4" s="66"/>
      <c r="G4" s="66"/>
      <c r="H4" s="66"/>
    </row>
    <row r="5" spans="1:11" ht="15" customHeight="1">
      <c r="A5" s="68"/>
      <c r="B5" s="571"/>
      <c r="C5" s="571"/>
      <c r="D5" s="571"/>
      <c r="E5" s="571"/>
      <c r="F5" s="571"/>
      <c r="G5" s="571"/>
      <c r="H5" s="69"/>
    </row>
    <row r="6" spans="1:11">
      <c r="A6" s="70" t="s">
        <v>122</v>
      </c>
      <c r="G6" s="71" t="s">
        <v>123</v>
      </c>
      <c r="H6" s="72">
        <v>44378</v>
      </c>
    </row>
    <row r="7" spans="1:11" ht="14.4" customHeight="1">
      <c r="A7" s="572" t="s">
        <v>115</v>
      </c>
      <c r="B7" s="572" t="s">
        <v>124</v>
      </c>
      <c r="C7" s="572" t="s">
        <v>12</v>
      </c>
      <c r="D7" s="572" t="s">
        <v>116</v>
      </c>
      <c r="E7" s="572" t="s">
        <v>125</v>
      </c>
      <c r="F7" s="264"/>
      <c r="G7" s="573" t="s">
        <v>126</v>
      </c>
      <c r="H7" s="573"/>
    </row>
    <row r="8" spans="1:11">
      <c r="A8" s="572"/>
      <c r="B8" s="572"/>
      <c r="C8" s="572"/>
      <c r="D8" s="572"/>
      <c r="E8" s="572"/>
      <c r="F8" s="264" t="s">
        <v>256</v>
      </c>
      <c r="G8" s="215" t="s">
        <v>127</v>
      </c>
      <c r="H8" s="215" t="s">
        <v>8</v>
      </c>
    </row>
    <row r="9" spans="1:11">
      <c r="A9" s="215">
        <v>1</v>
      </c>
      <c r="B9" s="216" t="s">
        <v>128</v>
      </c>
      <c r="C9" s="216"/>
      <c r="D9" s="217"/>
      <c r="E9" s="217"/>
      <c r="F9" s="265"/>
      <c r="G9" s="217"/>
      <c r="H9" s="217"/>
      <c r="J9" s="73"/>
    </row>
    <row r="10" spans="1:11">
      <c r="A10" s="215" t="s">
        <v>21</v>
      </c>
      <c r="B10" s="216" t="s">
        <v>22</v>
      </c>
      <c r="C10" s="216"/>
      <c r="D10" s="217"/>
      <c r="E10" s="217"/>
      <c r="F10" s="265"/>
      <c r="G10" s="217"/>
      <c r="H10" s="217"/>
      <c r="J10" s="74"/>
    </row>
    <row r="11" spans="1:11">
      <c r="A11" s="218" t="s">
        <v>24</v>
      </c>
      <c r="B11" s="217" t="s">
        <v>235</v>
      </c>
      <c r="C11" s="218" t="s">
        <v>641</v>
      </c>
      <c r="D11" s="218" t="s">
        <v>61</v>
      </c>
      <c r="E11" s="219">
        <v>1</v>
      </c>
      <c r="F11" s="266">
        <f>VLOOKUP(C11,'Tabela DNIT-Consult-MO'!$A$4:$Y$91,23,FALSE)</f>
        <v>0.84119999999999995</v>
      </c>
      <c r="G11" s="220">
        <f>'Tabela DNIT-Consult-MO'!D46</f>
        <v>19915.78</v>
      </c>
      <c r="H11" s="221">
        <f>E11*G11</f>
        <v>19915.78</v>
      </c>
      <c r="J11" s="74" t="s">
        <v>23</v>
      </c>
      <c r="K11" s="65" t="str">
        <f>B11</f>
        <v>Engenheiro consultor especial</v>
      </c>
    </row>
    <row r="12" spans="1:11">
      <c r="A12" s="215" t="s">
        <v>26</v>
      </c>
      <c r="B12" s="216" t="s">
        <v>129</v>
      </c>
      <c r="C12" s="218"/>
      <c r="D12" s="217"/>
      <c r="E12" s="217"/>
      <c r="F12" s="265"/>
      <c r="G12" s="222"/>
      <c r="H12" s="217"/>
      <c r="J12" s="74"/>
      <c r="K12" s="65" t="str">
        <f t="shared" ref="K12:K35" si="0">B12</f>
        <v>Nível Superior</v>
      </c>
    </row>
    <row r="13" spans="1:11">
      <c r="A13" s="218" t="s">
        <v>29</v>
      </c>
      <c r="B13" s="217" t="s">
        <v>236</v>
      </c>
      <c r="C13" s="218" t="s">
        <v>643</v>
      </c>
      <c r="D13" s="218" t="s">
        <v>61</v>
      </c>
      <c r="E13" s="219">
        <v>1</v>
      </c>
      <c r="F13" s="266">
        <f>VLOOKUP(C13,'Tabela DNIT-Consult-MO'!$A$4:$Y$91,23,FALSE)</f>
        <v>0.8498</v>
      </c>
      <c r="G13" s="220">
        <f>'Tabela DNIT-Consult-MO'!D47</f>
        <v>16596.48</v>
      </c>
      <c r="H13" s="221">
        <f>E13*G13</f>
        <v>16596.48</v>
      </c>
      <c r="J13" s="74" t="s">
        <v>28</v>
      </c>
      <c r="K13" s="65" t="str">
        <f t="shared" si="0"/>
        <v>Engenheiro coordenador</v>
      </c>
    </row>
    <row r="14" spans="1:11">
      <c r="A14" s="218" t="s">
        <v>32</v>
      </c>
      <c r="B14" s="223" t="s">
        <v>234</v>
      </c>
      <c r="C14" s="218" t="s">
        <v>655</v>
      </c>
      <c r="D14" s="224" t="s">
        <v>61</v>
      </c>
      <c r="E14" s="219">
        <v>1</v>
      </c>
      <c r="F14" s="266">
        <f>VLOOKUP(C14,'Tabela DNIT-Consult-MO'!$A$4:$Y$91,23,FALSE)</f>
        <v>0.86</v>
      </c>
      <c r="G14" s="220">
        <f>'Tabela DNIT-Consult-MO'!D53</f>
        <v>13887.45</v>
      </c>
      <c r="H14" s="225">
        <f>E14*G14</f>
        <v>13887.45</v>
      </c>
      <c r="J14" s="74" t="s">
        <v>31</v>
      </c>
      <c r="K14" s="65" t="str">
        <f t="shared" si="0"/>
        <v>Engenheiro de projetos sênior</v>
      </c>
    </row>
    <row r="15" spans="1:11">
      <c r="A15" s="218" t="s">
        <v>34</v>
      </c>
      <c r="B15" s="223" t="s">
        <v>233</v>
      </c>
      <c r="C15" s="218" t="s">
        <v>653</v>
      </c>
      <c r="D15" s="218" t="s">
        <v>61</v>
      </c>
      <c r="E15" s="219">
        <v>1</v>
      </c>
      <c r="F15" s="266">
        <f>VLOOKUP(C15,'Tabela DNIT-Consult-MO'!$A$4:$Y$91,23,FALSE)</f>
        <v>0.87970000000000004</v>
      </c>
      <c r="G15" s="220">
        <f>'Tabela DNIT-Consult-MO'!D52</f>
        <v>10528.02</v>
      </c>
      <c r="H15" s="225">
        <f>E15*G15</f>
        <v>10528.02</v>
      </c>
      <c r="J15" s="74" t="s">
        <v>33</v>
      </c>
      <c r="K15" s="65" t="str">
        <f t="shared" si="0"/>
        <v>Engenheiro de projetos pleno</v>
      </c>
    </row>
    <row r="16" spans="1:11">
      <c r="A16" s="218" t="s">
        <v>36</v>
      </c>
      <c r="B16" s="223" t="s">
        <v>232</v>
      </c>
      <c r="C16" s="218" t="s">
        <v>651</v>
      </c>
      <c r="D16" s="218" t="s">
        <v>61</v>
      </c>
      <c r="E16" s="219">
        <v>1</v>
      </c>
      <c r="F16" s="266">
        <f>VLOOKUP(C16,'Tabela DNIT-Consult-MO'!$A$4:$Y$91,23,FALSE)</f>
        <v>0.89</v>
      </c>
      <c r="G16" s="220">
        <f>'Tabela DNIT-Consult-MO'!D51</f>
        <v>9350</v>
      </c>
      <c r="H16" s="225">
        <f>E16*G16</f>
        <v>9350</v>
      </c>
      <c r="J16" s="74" t="s">
        <v>35</v>
      </c>
      <c r="K16" s="65" t="str">
        <f t="shared" si="0"/>
        <v>Engenheiro de projetos júnior</v>
      </c>
    </row>
    <row r="17" spans="1:11">
      <c r="A17" s="218" t="s">
        <v>37</v>
      </c>
      <c r="B17" s="223" t="s">
        <v>130</v>
      </c>
      <c r="C17" s="218"/>
      <c r="D17" s="218" t="s">
        <v>61</v>
      </c>
      <c r="E17" s="219">
        <v>1</v>
      </c>
      <c r="F17" s="266"/>
      <c r="G17" s="220"/>
      <c r="H17" s="225">
        <f>E17*G17</f>
        <v>0</v>
      </c>
      <c r="J17" s="74" t="s">
        <v>117</v>
      </c>
      <c r="K17" s="65" t="str">
        <f t="shared" si="0"/>
        <v>Profissional Auxiliar (P4)</v>
      </c>
    </row>
    <row r="18" spans="1:11">
      <c r="A18" s="215" t="s">
        <v>38</v>
      </c>
      <c r="B18" s="216" t="s">
        <v>39</v>
      </c>
      <c r="C18" s="218"/>
      <c r="D18" s="224"/>
      <c r="E18" s="219"/>
      <c r="F18" s="266"/>
      <c r="G18" s="220"/>
      <c r="H18" s="225"/>
      <c r="J18" s="74"/>
      <c r="K18" s="65" t="str">
        <f t="shared" si="0"/>
        <v>Nível Técnico</v>
      </c>
    </row>
    <row r="19" spans="1:11">
      <c r="A19" s="224" t="s">
        <v>40</v>
      </c>
      <c r="B19" s="223" t="s">
        <v>238</v>
      </c>
      <c r="C19" s="218" t="s">
        <v>719</v>
      </c>
      <c r="D19" s="218" t="s">
        <v>61</v>
      </c>
      <c r="E19" s="219">
        <v>1</v>
      </c>
      <c r="F19" s="266">
        <f>VLOOKUP(C19,'Tabela DNIT-Consult-MO'!$A$4:$Y$91,23,FALSE)</f>
        <v>1.0971</v>
      </c>
      <c r="G19" s="220">
        <f>'Tabela DNIT-Consult-MO'!D87</f>
        <v>2436.42</v>
      </c>
      <c r="H19" s="225">
        <f>E19*G19</f>
        <v>2436.42</v>
      </c>
      <c r="J19" s="74" t="s">
        <v>42</v>
      </c>
      <c r="K19" s="65" t="str">
        <f t="shared" si="0"/>
        <v>Técnico de obras</v>
      </c>
    </row>
    <row r="20" spans="1:11">
      <c r="A20" s="224" t="s">
        <v>41</v>
      </c>
      <c r="B20" s="223" t="s">
        <v>237</v>
      </c>
      <c r="C20" s="218" t="s">
        <v>595</v>
      </c>
      <c r="D20" s="218" t="s">
        <v>61</v>
      </c>
      <c r="E20" s="219">
        <v>1</v>
      </c>
      <c r="F20" s="266">
        <f>VLOOKUP(C20,'Tabela DNIT-Consult-MO'!$A$4:$Y$91,23,FALSE)</f>
        <v>1.3959999999999999</v>
      </c>
      <c r="G20" s="220">
        <f>'Tabela DNIT-Consult-MO'!D20</f>
        <v>1571.39</v>
      </c>
      <c r="H20" s="225">
        <f>E20*G20</f>
        <v>1571.39</v>
      </c>
      <c r="J20" s="74" t="s">
        <v>118</v>
      </c>
      <c r="K20" s="65" t="str">
        <f t="shared" si="0"/>
        <v>Auxiliar administrativo</v>
      </c>
    </row>
    <row r="21" spans="1:11">
      <c r="A21" s="215" t="s">
        <v>43</v>
      </c>
      <c r="B21" s="216" t="s">
        <v>39</v>
      </c>
      <c r="C21" s="218"/>
      <c r="D21" s="224"/>
      <c r="E21" s="219"/>
      <c r="F21" s="266"/>
      <c r="G21" s="220"/>
      <c r="H21" s="225"/>
      <c r="J21" s="74"/>
      <c r="K21" s="65" t="str">
        <f t="shared" si="0"/>
        <v>Nível Técnico</v>
      </c>
    </row>
    <row r="22" spans="1:11">
      <c r="A22" s="224" t="s">
        <v>46</v>
      </c>
      <c r="B22" s="223" t="s">
        <v>239</v>
      </c>
      <c r="C22" s="218" t="s">
        <v>607</v>
      </c>
      <c r="D22" s="218" t="s">
        <v>61</v>
      </c>
      <c r="E22" s="219">
        <v>1</v>
      </c>
      <c r="F22" s="266">
        <f>VLOOKUP(C22,'Tabela DNIT-Consult-MO'!$A$4:$Y$91,23,FALSE)</f>
        <v>1.0368999999999999</v>
      </c>
      <c r="G22" s="220">
        <f>'Tabela DNIT-Consult-MO'!D26</f>
        <v>3537.38</v>
      </c>
      <c r="H22" s="225">
        <f>E22*G22</f>
        <v>3537.38</v>
      </c>
      <c r="J22" s="74" t="s">
        <v>119</v>
      </c>
      <c r="K22" s="65" t="str">
        <f t="shared" si="0"/>
        <v>Chefe de escritório</v>
      </c>
    </row>
    <row r="23" spans="1:11">
      <c r="A23" s="224" t="s">
        <v>49</v>
      </c>
      <c r="B23" s="223" t="s">
        <v>47</v>
      </c>
      <c r="C23" s="218" t="s">
        <v>713</v>
      </c>
      <c r="D23" s="218" t="s">
        <v>61</v>
      </c>
      <c r="E23" s="219">
        <v>1</v>
      </c>
      <c r="F23" s="266">
        <f>VLOOKUP(C23,'Tabela DNIT-Consult-MO'!$A$4:$Y$91,23,FALSE)</f>
        <v>1.1964999999999999</v>
      </c>
      <c r="G23" s="220">
        <f>'Tabela DNIT-Consult-MO'!D84</f>
        <v>5326.83</v>
      </c>
      <c r="H23" s="225">
        <f>E23*G23</f>
        <v>5326.83</v>
      </c>
      <c r="J23" s="74" t="s">
        <v>45</v>
      </c>
      <c r="K23" s="65" t="str">
        <f t="shared" si="0"/>
        <v>Secretária</v>
      </c>
    </row>
    <row r="24" spans="1:11">
      <c r="A24" s="224" t="s">
        <v>50</v>
      </c>
      <c r="B24" s="223" t="s">
        <v>240</v>
      </c>
      <c r="C24" s="218" t="s">
        <v>693</v>
      </c>
      <c r="D24" s="218" t="s">
        <v>61</v>
      </c>
      <c r="E24" s="219">
        <v>1</v>
      </c>
      <c r="F24" s="266">
        <f>VLOOKUP(C24,'Tabela DNIT-Consult-MO'!$A$4:$Y$91,23,FALSE)</f>
        <v>1.3432999999999999</v>
      </c>
      <c r="G24" s="220">
        <f>'Tabela DNIT-Consult-MO'!D74</f>
        <v>1897.44</v>
      </c>
      <c r="H24" s="225">
        <f>E24*G24</f>
        <v>1897.44</v>
      </c>
      <c r="J24" s="74" t="s">
        <v>48</v>
      </c>
      <c r="K24" s="65" t="str">
        <f t="shared" si="0"/>
        <v>Motorista de veículo leve</v>
      </c>
    </row>
    <row r="25" spans="1:11">
      <c r="A25" s="75"/>
      <c r="B25" s="76"/>
      <c r="C25" s="76"/>
      <c r="D25" s="77"/>
      <c r="E25" s="78"/>
      <c r="F25" s="78"/>
      <c r="G25" s="79"/>
      <c r="H25" s="80"/>
      <c r="J25" s="74"/>
      <c r="K25" s="65">
        <f t="shared" si="0"/>
        <v>0</v>
      </c>
    </row>
    <row r="26" spans="1:11" ht="9.9" customHeight="1">
      <c r="A26" s="228"/>
      <c r="B26" s="229"/>
      <c r="C26" s="229"/>
      <c r="D26" s="229"/>
      <c r="E26" s="229"/>
      <c r="F26" s="268"/>
      <c r="G26" s="229"/>
      <c r="H26" s="230"/>
      <c r="J26" s="74"/>
      <c r="K26" s="65">
        <f t="shared" si="0"/>
        <v>0</v>
      </c>
    </row>
    <row r="27" spans="1:11" s="70" customFormat="1">
      <c r="A27" s="226">
        <v>2</v>
      </c>
      <c r="B27" s="227" t="s">
        <v>63</v>
      </c>
      <c r="C27" s="227"/>
      <c r="D27" s="227"/>
      <c r="E27" s="227"/>
      <c r="F27" s="267"/>
      <c r="G27" s="227"/>
      <c r="H27" s="231"/>
      <c r="J27" s="81"/>
      <c r="K27" s="65" t="str">
        <f t="shared" si="0"/>
        <v>Despesas</v>
      </c>
    </row>
    <row r="28" spans="1:11">
      <c r="A28" s="224" t="s">
        <v>51</v>
      </c>
      <c r="B28" s="223" t="s">
        <v>241</v>
      </c>
      <c r="C28" s="218" t="s">
        <v>742</v>
      </c>
      <c r="D28" s="224" t="s">
        <v>61</v>
      </c>
      <c r="E28" s="224">
        <v>1</v>
      </c>
      <c r="F28" s="269"/>
      <c r="G28" s="220">
        <f>(('Tabela DNIT-Consult-BDI'!H5*66)+('Tabela DNIT-Consult-BDI'!I5*116.49))</f>
        <v>2700.7397999999998</v>
      </c>
      <c r="H28" s="225">
        <f t="shared" ref="H28:H35" si="1">+E28*G28</f>
        <v>2700.7397999999998</v>
      </c>
      <c r="J28" s="74"/>
      <c r="K28" s="65" t="str">
        <f t="shared" si="0"/>
        <v>Veículo leve - tipo hatch - (sem motorista)</v>
      </c>
    </row>
    <row r="29" spans="1:11">
      <c r="A29" s="224" t="s">
        <v>53</v>
      </c>
      <c r="B29" s="223" t="s">
        <v>242</v>
      </c>
      <c r="C29" s="218" t="s">
        <v>743</v>
      </c>
      <c r="D29" s="224" t="s">
        <v>61</v>
      </c>
      <c r="E29" s="224">
        <v>1</v>
      </c>
      <c r="F29" s="269"/>
      <c r="G29" s="220">
        <f>(('Tabela DNIT-Consult-BDI'!H6*66)+('Tabela DNIT-Consult-BDI'!I6*116.49))</f>
        <v>6719.6316000000006</v>
      </c>
      <c r="H29" s="225">
        <f t="shared" si="1"/>
        <v>6719.6316000000006</v>
      </c>
      <c r="J29" s="74"/>
      <c r="K29" s="65" t="str">
        <f t="shared" si="0"/>
        <v>Veículo leve - tipo pick up 4 x 4 - (sem motorista)</v>
      </c>
    </row>
    <row r="30" spans="1:11">
      <c r="A30" s="224" t="s">
        <v>131</v>
      </c>
      <c r="B30" s="223" t="s">
        <v>135</v>
      </c>
      <c r="C30" s="218"/>
      <c r="D30" s="224" t="s">
        <v>57</v>
      </c>
      <c r="E30" s="233">
        <v>1</v>
      </c>
      <c r="F30" s="270"/>
      <c r="G30" s="232">
        <f>H50</f>
        <v>246.1</v>
      </c>
      <c r="H30" s="225">
        <f t="shared" si="1"/>
        <v>246.1</v>
      </c>
      <c r="J30" s="74"/>
      <c r="K30" s="65" t="str">
        <f t="shared" si="0"/>
        <v>Diárias de Nível Superior - Nacional</v>
      </c>
    </row>
    <row r="31" spans="1:11">
      <c r="A31" s="224" t="s">
        <v>132</v>
      </c>
      <c r="B31" s="223" t="s">
        <v>137</v>
      </c>
      <c r="C31" s="218"/>
      <c r="D31" s="224" t="s">
        <v>57</v>
      </c>
      <c r="E31" s="233">
        <v>1</v>
      </c>
      <c r="F31" s="270"/>
      <c r="G31" s="232">
        <f>H52</f>
        <v>203.55</v>
      </c>
      <c r="H31" s="225">
        <f t="shared" si="1"/>
        <v>203.55</v>
      </c>
      <c r="J31" s="74"/>
      <c r="K31" s="65" t="str">
        <f t="shared" si="0"/>
        <v>Diárias de Nível Técnico - Nacional</v>
      </c>
    </row>
    <row r="32" spans="1:11">
      <c r="A32" s="224" t="s">
        <v>133</v>
      </c>
      <c r="B32" s="223" t="s">
        <v>139</v>
      </c>
      <c r="C32" s="218"/>
      <c r="D32" s="224" t="s">
        <v>57</v>
      </c>
      <c r="E32" s="233">
        <v>1</v>
      </c>
      <c r="F32" s="270"/>
      <c r="G32" s="232">
        <v>0</v>
      </c>
      <c r="H32" s="225">
        <f t="shared" si="1"/>
        <v>0</v>
      </c>
      <c r="J32" s="74"/>
      <c r="K32" s="65" t="str">
        <f t="shared" si="0"/>
        <v>Passagens Aéreas - Nacional</v>
      </c>
    </row>
    <row r="33" spans="1:11">
      <c r="A33" s="224" t="s">
        <v>134</v>
      </c>
      <c r="B33" s="223" t="s">
        <v>251</v>
      </c>
      <c r="C33" s="218" t="s">
        <v>744</v>
      </c>
      <c r="D33" s="224" t="s">
        <v>57</v>
      </c>
      <c r="E33" s="234">
        <v>1</v>
      </c>
      <c r="F33" s="271"/>
      <c r="G33" s="232">
        <f>'Tabela DNIT-Consult-BDI'!I18</f>
        <v>124.5</v>
      </c>
      <c r="H33" s="225">
        <f t="shared" si="1"/>
        <v>124.5</v>
      </c>
      <c r="J33" s="74"/>
      <c r="K33" s="65" t="str">
        <f t="shared" si="0"/>
        <v>Custos Diversos Escritório</v>
      </c>
    </row>
    <row r="34" spans="1:11">
      <c r="A34" s="224" t="s">
        <v>136</v>
      </c>
      <c r="B34" s="223" t="s">
        <v>245</v>
      </c>
      <c r="C34" s="218" t="s">
        <v>745</v>
      </c>
      <c r="D34" s="224" t="s">
        <v>61</v>
      </c>
      <c r="E34" s="234">
        <v>1</v>
      </c>
      <c r="F34" s="271"/>
      <c r="G34" s="220">
        <f>'Tabela DNIT-Consult-BDI'!I10</f>
        <v>40.049999999999997</v>
      </c>
      <c r="H34" s="225">
        <f t="shared" si="1"/>
        <v>40.049999999999997</v>
      </c>
      <c r="J34" s="74"/>
      <c r="K34" s="65" t="str">
        <f t="shared" si="0"/>
        <v>Imóvel Comercial (2,32% do C.M.C.C - SINAPI)</v>
      </c>
    </row>
    <row r="35" spans="1:11">
      <c r="A35" s="224" t="s">
        <v>138</v>
      </c>
      <c r="B35" s="235" t="s">
        <v>249</v>
      </c>
      <c r="C35" s="218" t="s">
        <v>746</v>
      </c>
      <c r="D35" s="224" t="s">
        <v>61</v>
      </c>
      <c r="E35" s="234">
        <v>1</v>
      </c>
      <c r="F35" s="272"/>
      <c r="G35" s="236">
        <f>'Tabela DNIT-Consult-BDI'!I12</f>
        <v>529.1</v>
      </c>
      <c r="H35" s="225">
        <f t="shared" si="1"/>
        <v>529.1</v>
      </c>
      <c r="J35" s="73"/>
      <c r="K35" s="65" t="str">
        <f t="shared" si="0"/>
        <v>Mobiliário Escritório</v>
      </c>
    </row>
    <row r="36" spans="1:11">
      <c r="A36" s="224"/>
      <c r="B36" s="235"/>
      <c r="C36" s="229"/>
      <c r="D36" s="237"/>
      <c r="E36" s="238"/>
      <c r="F36" s="273"/>
      <c r="G36" s="239"/>
      <c r="H36" s="225"/>
    </row>
    <row r="38" spans="1:11">
      <c r="F38" s="65" t="s">
        <v>258</v>
      </c>
      <c r="H38" s="65">
        <v>182.49</v>
      </c>
    </row>
    <row r="39" spans="1:11">
      <c r="F39" s="65" t="s">
        <v>259</v>
      </c>
      <c r="H39" s="300">
        <f>'Tabela DNIT-Consult-BDI'!I27/100</f>
        <v>0.1142</v>
      </c>
    </row>
    <row r="40" spans="1:11">
      <c r="F40" s="65" t="s">
        <v>260</v>
      </c>
      <c r="H40" s="300">
        <f>'Tabela DNIT-Consult-BDI'!I30/100</f>
        <v>0.12</v>
      </c>
    </row>
    <row r="41" spans="1:11">
      <c r="F41" s="65" t="s">
        <v>261</v>
      </c>
      <c r="H41" s="300">
        <f>'Tabela DNIT-Consult-BDI'!I35/100</f>
        <v>0.20550000000000002</v>
      </c>
    </row>
    <row r="45" spans="1:11" ht="34.5" customHeight="1">
      <c r="A45" s="197"/>
      <c r="B45" s="560" t="s">
        <v>140</v>
      </c>
      <c r="C45" s="560"/>
      <c r="D45" s="560"/>
      <c r="E45" s="560"/>
      <c r="F45" s="561"/>
      <c r="G45" s="560"/>
      <c r="H45" s="560"/>
    </row>
    <row r="46" spans="1:11" ht="79.5" customHeight="1">
      <c r="A46" s="197"/>
      <c r="B46" s="240" t="s">
        <v>141</v>
      </c>
      <c r="C46" s="240" t="s">
        <v>142</v>
      </c>
      <c r="D46" s="240" t="s">
        <v>143</v>
      </c>
      <c r="E46" s="240" t="s">
        <v>144</v>
      </c>
      <c r="F46" s="274"/>
      <c r="G46" s="240" t="s">
        <v>145</v>
      </c>
      <c r="H46" s="241" t="s">
        <v>146</v>
      </c>
    </row>
    <row r="47" spans="1:11" ht="28.5" customHeight="1">
      <c r="A47" s="197"/>
      <c r="B47" s="198" t="s">
        <v>147</v>
      </c>
      <c r="C47" s="199">
        <v>321.10000000000002</v>
      </c>
      <c r="D47" s="199">
        <v>304.2</v>
      </c>
      <c r="E47" s="199">
        <v>287.3</v>
      </c>
      <c r="F47" s="275"/>
      <c r="G47" s="200">
        <v>253.5</v>
      </c>
      <c r="H47" s="200">
        <f>AVERAGE(C47:G47)</f>
        <v>291.52499999999998</v>
      </c>
    </row>
    <row r="48" spans="1:11" ht="39.6">
      <c r="A48" s="197"/>
      <c r="B48" s="201" t="s">
        <v>148</v>
      </c>
      <c r="C48" s="199">
        <v>267.89999999999998</v>
      </c>
      <c r="D48" s="199">
        <v>253.8</v>
      </c>
      <c r="E48" s="199">
        <v>239.7</v>
      </c>
      <c r="F48" s="275"/>
      <c r="G48" s="200">
        <v>211.5</v>
      </c>
      <c r="H48" s="200">
        <f>AVERAGE(C48:G48)</f>
        <v>243.22500000000002</v>
      </c>
    </row>
    <row r="49" spans="1:8" ht="26.4">
      <c r="A49" s="197"/>
      <c r="B49" s="201" t="s">
        <v>149</v>
      </c>
      <c r="C49" s="199">
        <v>224.2</v>
      </c>
      <c r="D49" s="199">
        <v>212.4</v>
      </c>
      <c r="E49" s="199">
        <v>200.6</v>
      </c>
      <c r="F49" s="275"/>
      <c r="G49" s="200">
        <v>177</v>
      </c>
      <c r="H49" s="200">
        <f>AVERAGE(C49:G49)</f>
        <v>203.55</v>
      </c>
    </row>
    <row r="50" spans="1:8" ht="32.25" customHeight="1">
      <c r="A50" s="197"/>
      <c r="B50" s="565" t="s">
        <v>150</v>
      </c>
      <c r="C50" s="566"/>
      <c r="D50" s="566"/>
      <c r="E50" s="566"/>
      <c r="F50" s="567"/>
      <c r="G50" s="568"/>
      <c r="H50" s="242">
        <f>ROUNDUP(AVERAGE(H47:H49),2)</f>
        <v>246.1</v>
      </c>
    </row>
    <row r="51" spans="1:8" ht="52.8">
      <c r="A51" s="197"/>
      <c r="B51" s="202" t="s">
        <v>151</v>
      </c>
      <c r="C51" s="203">
        <v>224.2</v>
      </c>
      <c r="D51" s="203">
        <v>212.4</v>
      </c>
      <c r="E51" s="203">
        <v>200.6</v>
      </c>
      <c r="F51" s="276"/>
      <c r="G51" s="204">
        <v>177</v>
      </c>
      <c r="H51" s="204">
        <f>AVERAGE(C51:G51)</f>
        <v>203.55</v>
      </c>
    </row>
    <row r="52" spans="1:8" ht="37.5" customHeight="1">
      <c r="A52" s="197"/>
      <c r="B52" s="562" t="s">
        <v>152</v>
      </c>
      <c r="C52" s="563"/>
      <c r="D52" s="563"/>
      <c r="E52" s="563"/>
      <c r="F52" s="563"/>
      <c r="G52" s="564"/>
      <c r="H52" s="242">
        <f>ROUNDUP(AVERAGE(H51),2)</f>
        <v>203.55</v>
      </c>
    </row>
    <row r="53" spans="1:8" ht="30.75" customHeight="1">
      <c r="A53" s="197"/>
      <c r="B53" s="557" t="s">
        <v>153</v>
      </c>
      <c r="C53" s="558"/>
      <c r="D53" s="558"/>
      <c r="E53" s="558"/>
      <c r="F53" s="558"/>
      <c r="G53" s="559"/>
      <c r="H53" s="243">
        <f>AVERAGE(H50,H52)</f>
        <v>224.82499999999999</v>
      </c>
    </row>
  </sheetData>
  <mergeCells count="13">
    <mergeCell ref="B53:G53"/>
    <mergeCell ref="B45:H45"/>
    <mergeCell ref="B52:G52"/>
    <mergeCell ref="B50:G50"/>
    <mergeCell ref="A1:H1"/>
    <mergeCell ref="A3:H3"/>
    <mergeCell ref="B5:G5"/>
    <mergeCell ref="A7:A8"/>
    <mergeCell ref="B7:B8"/>
    <mergeCell ref="C7:C8"/>
    <mergeCell ref="D7:D8"/>
    <mergeCell ref="E7:E8"/>
    <mergeCell ref="G7:H7"/>
  </mergeCells>
  <phoneticPr fontId="50" type="noConversion"/>
  <pageMargins left="0.511811024" right="0.511811024" top="0.78740157499999996" bottom="0.78740157499999996" header="0.31496062000000002" footer="0.31496062000000002"/>
  <pageSetup paperSize="9" scale="2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CC8C6-3DD8-4BD8-8DEA-8B48C4D50315}">
  <dimension ref="A1:Y99"/>
  <sheetViews>
    <sheetView topLeftCell="A2" workbookViewId="0">
      <selection activeCell="D46" sqref="D46"/>
    </sheetView>
  </sheetViews>
  <sheetFormatPr defaultRowHeight="13.2"/>
  <cols>
    <col min="1" max="1" width="9.33203125" style="247" customWidth="1"/>
    <col min="2" max="2" width="30.21875" style="247" customWidth="1"/>
    <col min="3" max="3" width="4.6640625" style="247" customWidth="1"/>
    <col min="4" max="4" width="8" style="247" customWidth="1"/>
    <col min="5" max="5" width="6.88671875" style="247" customWidth="1"/>
    <col min="6" max="6" width="8" style="247" customWidth="1"/>
    <col min="7" max="7" width="5.77734375" style="247" customWidth="1"/>
    <col min="8" max="8" width="4.6640625" style="247" customWidth="1"/>
    <col min="9" max="9" width="5.77734375" style="247" customWidth="1"/>
    <col min="10" max="11" width="4.6640625" style="247" customWidth="1"/>
    <col min="12" max="12" width="3.33203125" style="247" customWidth="1"/>
    <col min="13" max="14" width="5.77734375" style="247" customWidth="1"/>
    <col min="15" max="15" width="8" style="247" customWidth="1"/>
    <col min="16" max="16" width="5.77734375" style="247" customWidth="1"/>
    <col min="17" max="18" width="4.6640625" style="247" customWidth="1"/>
    <col min="19" max="19" width="5.77734375" style="247" customWidth="1"/>
    <col min="20" max="20" width="4.6640625" style="247" customWidth="1"/>
    <col min="21" max="21" width="6.88671875" style="247" customWidth="1"/>
    <col min="22" max="22" width="4.6640625" style="247" customWidth="1"/>
    <col min="23" max="24" width="6.88671875" style="247" customWidth="1"/>
    <col min="25" max="25" width="8" style="247" customWidth="1"/>
    <col min="26" max="27" width="9.77734375" style="247" customWidth="1"/>
    <col min="28" max="16384" width="8.88671875" style="247"/>
  </cols>
  <sheetData>
    <row r="1" spans="1:25" hidden="1">
      <c r="D1" s="247">
        <v>4</v>
      </c>
      <c r="E1" s="247">
        <v>5</v>
      </c>
      <c r="F1" s="247">
        <v>6</v>
      </c>
      <c r="G1" s="247">
        <v>7</v>
      </c>
      <c r="H1" s="247">
        <v>8</v>
      </c>
      <c r="I1" s="247">
        <v>9</v>
      </c>
      <c r="J1" s="247">
        <v>10</v>
      </c>
      <c r="K1" s="247">
        <v>11</v>
      </c>
      <c r="L1" s="247">
        <v>12</v>
      </c>
      <c r="M1" s="247">
        <v>13</v>
      </c>
      <c r="N1" s="247">
        <v>14</v>
      </c>
      <c r="O1" s="247">
        <v>15</v>
      </c>
      <c r="P1" s="247">
        <v>16</v>
      </c>
      <c r="Q1" s="247">
        <v>17</v>
      </c>
      <c r="R1" s="247">
        <v>18</v>
      </c>
      <c r="S1" s="247">
        <v>19</v>
      </c>
      <c r="T1" s="247">
        <v>20</v>
      </c>
      <c r="U1" s="247">
        <v>21</v>
      </c>
      <c r="V1" s="247">
        <v>22</v>
      </c>
      <c r="W1" s="247">
        <v>23</v>
      </c>
      <c r="X1" s="247">
        <v>24</v>
      </c>
      <c r="Y1" s="247">
        <v>25</v>
      </c>
    </row>
    <row r="2" spans="1:25" ht="16.95" customHeight="1">
      <c r="A2" s="598" t="s">
        <v>265</v>
      </c>
      <c r="B2" s="598"/>
      <c r="C2" s="598"/>
      <c r="D2" s="598"/>
      <c r="E2" s="598"/>
      <c r="F2" s="598"/>
      <c r="G2" s="598"/>
      <c r="H2" s="598"/>
      <c r="I2" s="598"/>
      <c r="J2" s="598"/>
      <c r="K2" s="598"/>
      <c r="L2" s="598"/>
      <c r="M2" s="598"/>
      <c r="N2" s="598"/>
      <c r="O2" s="598"/>
      <c r="P2" s="598"/>
      <c r="Q2" s="598"/>
      <c r="R2" s="598"/>
      <c r="S2" s="598"/>
      <c r="T2" s="598"/>
      <c r="U2" s="598"/>
      <c r="V2" s="598"/>
      <c r="W2" s="598"/>
      <c r="X2" s="598"/>
      <c r="Y2" s="598"/>
    </row>
    <row r="3" spans="1:25" ht="13.95" customHeight="1" thickBot="1">
      <c r="A3" s="599" t="s">
        <v>741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599"/>
      <c r="N3" s="599"/>
      <c r="O3" s="599"/>
      <c r="P3" s="599"/>
      <c r="Q3" s="599"/>
      <c r="R3" s="599"/>
      <c r="S3" s="599"/>
      <c r="T3" s="599"/>
      <c r="U3" s="599"/>
      <c r="V3" s="599"/>
      <c r="W3" s="599"/>
      <c r="X3" s="599"/>
      <c r="Y3" s="599"/>
    </row>
    <row r="4" spans="1:25" ht="10.95" customHeight="1" thickTop="1" thickBot="1">
      <c r="A4" s="586" t="s">
        <v>552</v>
      </c>
      <c r="B4" s="589" t="s">
        <v>553</v>
      </c>
      <c r="C4" s="592" t="s">
        <v>554</v>
      </c>
      <c r="D4" s="589" t="s">
        <v>555</v>
      </c>
      <c r="E4" s="608" t="s">
        <v>556</v>
      </c>
      <c r="F4" s="589" t="s">
        <v>557</v>
      </c>
      <c r="G4" s="595" t="s">
        <v>558</v>
      </c>
      <c r="H4" s="596"/>
      <c r="I4" s="596"/>
      <c r="J4" s="596"/>
      <c r="K4" s="596"/>
      <c r="L4" s="596"/>
      <c r="M4" s="596"/>
      <c r="N4" s="596"/>
      <c r="O4" s="596"/>
      <c r="P4" s="597"/>
      <c r="Q4" s="595" t="s">
        <v>559</v>
      </c>
      <c r="R4" s="596"/>
      <c r="S4" s="596"/>
      <c r="T4" s="596"/>
      <c r="U4" s="596"/>
      <c r="V4" s="597"/>
      <c r="W4" s="600" t="s">
        <v>560</v>
      </c>
      <c r="X4" s="601"/>
      <c r="Y4" s="604" t="s">
        <v>561</v>
      </c>
    </row>
    <row r="5" spans="1:25" ht="19.95" customHeight="1" thickBot="1">
      <c r="A5" s="587"/>
      <c r="B5" s="590"/>
      <c r="C5" s="593"/>
      <c r="D5" s="591"/>
      <c r="E5" s="609"/>
      <c r="F5" s="591"/>
      <c r="G5" s="595" t="s">
        <v>562</v>
      </c>
      <c r="H5" s="597"/>
      <c r="I5" s="595" t="s">
        <v>563</v>
      </c>
      <c r="J5" s="597"/>
      <c r="K5" s="606" t="s">
        <v>564</v>
      </c>
      <c r="L5" s="607"/>
      <c r="M5" s="595" t="s">
        <v>565</v>
      </c>
      <c r="N5" s="597"/>
      <c r="O5" s="595" t="s">
        <v>566</v>
      </c>
      <c r="P5" s="597"/>
      <c r="Q5" s="595" t="s">
        <v>567</v>
      </c>
      <c r="R5" s="597"/>
      <c r="S5" s="595" t="s">
        <v>568</v>
      </c>
      <c r="T5" s="597"/>
      <c r="U5" s="606" t="s">
        <v>569</v>
      </c>
      <c r="V5" s="607"/>
      <c r="W5" s="602"/>
      <c r="X5" s="603"/>
      <c r="Y5" s="605"/>
    </row>
    <row r="6" spans="1:25" ht="13.05" customHeight="1" thickBot="1">
      <c r="A6" s="588"/>
      <c r="B6" s="591"/>
      <c r="C6" s="594"/>
      <c r="D6" s="475" t="s">
        <v>570</v>
      </c>
      <c r="E6" s="475" t="s">
        <v>571</v>
      </c>
      <c r="F6" s="475" t="s">
        <v>570</v>
      </c>
      <c r="G6" s="475" t="s">
        <v>571</v>
      </c>
      <c r="H6" s="475" t="s">
        <v>570</v>
      </c>
      <c r="I6" s="475" t="s">
        <v>571</v>
      </c>
      <c r="J6" s="476" t="s">
        <v>570</v>
      </c>
      <c r="K6" s="475" t="s">
        <v>571</v>
      </c>
      <c r="L6" s="476" t="s">
        <v>570</v>
      </c>
      <c r="M6" s="475" t="s">
        <v>571</v>
      </c>
      <c r="N6" s="475" t="s">
        <v>570</v>
      </c>
      <c r="O6" s="475" t="s">
        <v>571</v>
      </c>
      <c r="P6" s="475" t="s">
        <v>570</v>
      </c>
      <c r="Q6" s="475" t="s">
        <v>571</v>
      </c>
      <c r="R6" s="476" t="s">
        <v>570</v>
      </c>
      <c r="S6" s="475" t="s">
        <v>571</v>
      </c>
      <c r="T6" s="475" t="s">
        <v>570</v>
      </c>
      <c r="U6" s="475" t="s">
        <v>571</v>
      </c>
      <c r="V6" s="475" t="s">
        <v>570</v>
      </c>
      <c r="W6" s="475" t="s">
        <v>571</v>
      </c>
      <c r="X6" s="475" t="s">
        <v>570</v>
      </c>
      <c r="Y6" s="474" t="s">
        <v>570</v>
      </c>
    </row>
    <row r="7" spans="1:25" ht="12" customHeight="1">
      <c r="A7" s="248" t="s">
        <v>290</v>
      </c>
      <c r="B7" s="248" t="s">
        <v>572</v>
      </c>
      <c r="C7" s="248" t="s">
        <v>573</v>
      </c>
      <c r="D7" s="249">
        <v>4327.3100000000004</v>
      </c>
      <c r="E7" s="249">
        <v>0.80200000000000005</v>
      </c>
      <c r="F7" s="249">
        <v>3470.5</v>
      </c>
      <c r="G7" s="249">
        <v>0.1242</v>
      </c>
      <c r="H7" s="249">
        <v>537.62</v>
      </c>
      <c r="I7" s="249">
        <v>7.4000000000000003E-3</v>
      </c>
      <c r="J7" s="249">
        <v>32.08</v>
      </c>
      <c r="K7" s="249">
        <v>0</v>
      </c>
      <c r="L7" s="249">
        <v>0</v>
      </c>
      <c r="M7" s="249">
        <v>0</v>
      </c>
      <c r="N7" s="249">
        <v>0</v>
      </c>
      <c r="O7" s="249">
        <v>1E-3</v>
      </c>
      <c r="P7" s="249">
        <v>4.12</v>
      </c>
      <c r="Q7" s="249">
        <v>0</v>
      </c>
      <c r="R7" s="249">
        <v>0</v>
      </c>
      <c r="S7" s="249">
        <v>6.4500000000000002E-2</v>
      </c>
      <c r="T7" s="249">
        <v>278.94</v>
      </c>
      <c r="U7" s="249">
        <v>1.2999999999999999E-3</v>
      </c>
      <c r="V7" s="249">
        <v>5.8</v>
      </c>
      <c r="W7" s="249">
        <v>1.0004</v>
      </c>
      <c r="X7" s="249">
        <v>4329.0600000000004</v>
      </c>
      <c r="Y7" s="249">
        <v>8656.3799999999992</v>
      </c>
    </row>
    <row r="8" spans="1:25" ht="12" customHeight="1">
      <c r="A8" s="248" t="s">
        <v>291</v>
      </c>
      <c r="B8" s="248" t="s">
        <v>574</v>
      </c>
      <c r="C8" s="248" t="s">
        <v>573</v>
      </c>
      <c r="D8" s="249">
        <v>5769.75</v>
      </c>
      <c r="E8" s="249">
        <v>0.80200000000000005</v>
      </c>
      <c r="F8" s="249">
        <v>4627.34</v>
      </c>
      <c r="G8" s="249">
        <v>9.3200000000000005E-2</v>
      </c>
      <c r="H8" s="249">
        <v>537.62</v>
      </c>
      <c r="I8" s="249">
        <v>5.5999999999999999E-3</v>
      </c>
      <c r="J8" s="249">
        <v>32.08</v>
      </c>
      <c r="K8" s="249">
        <v>0</v>
      </c>
      <c r="L8" s="249">
        <v>0</v>
      </c>
      <c r="M8" s="249">
        <v>0</v>
      </c>
      <c r="N8" s="249">
        <v>0</v>
      </c>
      <c r="O8" s="249">
        <v>6.9999999999999999E-4</v>
      </c>
      <c r="P8" s="249">
        <v>4.12</v>
      </c>
      <c r="Q8" s="249">
        <v>0</v>
      </c>
      <c r="R8" s="249">
        <v>0</v>
      </c>
      <c r="S8" s="249">
        <v>4.8300000000000003E-2</v>
      </c>
      <c r="T8" s="249">
        <v>278.94</v>
      </c>
      <c r="U8" s="249">
        <v>1E-3</v>
      </c>
      <c r="V8" s="249">
        <v>5.8</v>
      </c>
      <c r="W8" s="249">
        <v>0.95079999999999998</v>
      </c>
      <c r="X8" s="249">
        <v>5485.9</v>
      </c>
      <c r="Y8" s="249">
        <v>11255.65</v>
      </c>
    </row>
    <row r="9" spans="1:25" ht="12" customHeight="1">
      <c r="A9" s="248" t="s">
        <v>292</v>
      </c>
      <c r="B9" s="248" t="s">
        <v>575</v>
      </c>
      <c r="C9" s="248" t="s">
        <v>573</v>
      </c>
      <c r="D9" s="249">
        <v>9847.14</v>
      </c>
      <c r="E9" s="249">
        <v>0.80200000000000005</v>
      </c>
      <c r="F9" s="249">
        <v>7897.4</v>
      </c>
      <c r="G9" s="249">
        <v>5.4600000000000003E-2</v>
      </c>
      <c r="H9" s="249">
        <v>537.62</v>
      </c>
      <c r="I9" s="249">
        <v>3.3E-3</v>
      </c>
      <c r="J9" s="249">
        <v>32.08</v>
      </c>
      <c r="K9" s="249">
        <v>0</v>
      </c>
      <c r="L9" s="249">
        <v>0</v>
      </c>
      <c r="M9" s="249">
        <v>0</v>
      </c>
      <c r="N9" s="249">
        <v>0</v>
      </c>
      <c r="O9" s="249">
        <v>4.0000000000000002E-4</v>
      </c>
      <c r="P9" s="249">
        <v>4.12</v>
      </c>
      <c r="Q9" s="249">
        <v>0</v>
      </c>
      <c r="R9" s="249">
        <v>0</v>
      </c>
      <c r="S9" s="249">
        <v>2.8299999999999999E-2</v>
      </c>
      <c r="T9" s="249">
        <v>278.94</v>
      </c>
      <c r="U9" s="249">
        <v>5.9999999999999995E-4</v>
      </c>
      <c r="V9" s="249">
        <v>5.8</v>
      </c>
      <c r="W9" s="249">
        <v>0.88919999999999999</v>
      </c>
      <c r="X9" s="249">
        <v>8755.9599999999991</v>
      </c>
      <c r="Y9" s="249">
        <v>18603.099999999999</v>
      </c>
    </row>
    <row r="10" spans="1:25" ht="12" customHeight="1">
      <c r="A10" s="248" t="s">
        <v>293</v>
      </c>
      <c r="B10" s="248" t="s">
        <v>576</v>
      </c>
      <c r="C10" s="248" t="s">
        <v>573</v>
      </c>
      <c r="D10" s="249">
        <v>3446.09</v>
      </c>
      <c r="E10" s="249">
        <v>0.79959999999999998</v>
      </c>
      <c r="F10" s="249">
        <v>2755.5</v>
      </c>
      <c r="G10" s="249">
        <v>0.156</v>
      </c>
      <c r="H10" s="249">
        <v>537.62</v>
      </c>
      <c r="I10" s="249">
        <v>0</v>
      </c>
      <c r="J10" s="249">
        <v>0</v>
      </c>
      <c r="K10" s="249">
        <v>0</v>
      </c>
      <c r="L10" s="249">
        <v>0</v>
      </c>
      <c r="M10" s="249">
        <v>3.5999999999999999E-3</v>
      </c>
      <c r="N10" s="249">
        <v>12.27</v>
      </c>
      <c r="O10" s="249">
        <v>8.9999999999999998E-4</v>
      </c>
      <c r="P10" s="249">
        <v>3.03</v>
      </c>
      <c r="Q10" s="249">
        <v>0</v>
      </c>
      <c r="R10" s="249">
        <v>0</v>
      </c>
      <c r="S10" s="249">
        <v>8.09E-2</v>
      </c>
      <c r="T10" s="249">
        <v>278.94</v>
      </c>
      <c r="U10" s="249">
        <v>1.6999999999999999E-3</v>
      </c>
      <c r="V10" s="249">
        <v>5.8</v>
      </c>
      <c r="W10" s="249">
        <v>1.0427</v>
      </c>
      <c r="X10" s="249">
        <v>3593.16</v>
      </c>
      <c r="Y10" s="249">
        <v>7039.25</v>
      </c>
    </row>
    <row r="11" spans="1:25" ht="12" customHeight="1">
      <c r="A11" s="248" t="s">
        <v>577</v>
      </c>
      <c r="B11" s="248" t="s">
        <v>578</v>
      </c>
      <c r="C11" s="248" t="s">
        <v>573</v>
      </c>
      <c r="D11" s="249">
        <v>4594.79</v>
      </c>
      <c r="E11" s="249">
        <v>0.79959999999999998</v>
      </c>
      <c r="F11" s="249">
        <v>3673.99</v>
      </c>
      <c r="G11" s="249">
        <v>0.11700000000000001</v>
      </c>
      <c r="H11" s="249">
        <v>537.62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49">
        <v>6.9999999999999999E-4</v>
      </c>
      <c r="P11" s="249">
        <v>3.03</v>
      </c>
      <c r="Q11" s="249">
        <v>0</v>
      </c>
      <c r="R11" s="249">
        <v>0</v>
      </c>
      <c r="S11" s="249">
        <v>6.0699999999999997E-2</v>
      </c>
      <c r="T11" s="249">
        <v>278.94</v>
      </c>
      <c r="U11" s="249">
        <v>1.2999999999999999E-3</v>
      </c>
      <c r="V11" s="249">
        <v>5.8</v>
      </c>
      <c r="W11" s="249">
        <v>0.97919999999999996</v>
      </c>
      <c r="X11" s="249">
        <v>4499.3900000000003</v>
      </c>
      <c r="Y11" s="249">
        <v>9094.18</v>
      </c>
    </row>
    <row r="12" spans="1:25" ht="12" customHeight="1">
      <c r="A12" s="248" t="s">
        <v>579</v>
      </c>
      <c r="B12" s="248" t="s">
        <v>580</v>
      </c>
      <c r="C12" s="248" t="s">
        <v>573</v>
      </c>
      <c r="D12" s="249">
        <v>8167.44</v>
      </c>
      <c r="E12" s="249">
        <v>0.79959999999999998</v>
      </c>
      <c r="F12" s="249">
        <v>6530.69</v>
      </c>
      <c r="G12" s="249">
        <v>6.5799999999999997E-2</v>
      </c>
      <c r="H12" s="249">
        <v>537.62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49">
        <v>4.0000000000000002E-4</v>
      </c>
      <c r="P12" s="249">
        <v>3.03</v>
      </c>
      <c r="Q12" s="249">
        <v>0</v>
      </c>
      <c r="R12" s="249">
        <v>0</v>
      </c>
      <c r="S12" s="249">
        <v>3.4200000000000001E-2</v>
      </c>
      <c r="T12" s="249">
        <v>278.94</v>
      </c>
      <c r="U12" s="249">
        <v>6.9999999999999999E-4</v>
      </c>
      <c r="V12" s="249">
        <v>5.8</v>
      </c>
      <c r="W12" s="249">
        <v>0.90069999999999995</v>
      </c>
      <c r="X12" s="249">
        <v>7356.08</v>
      </c>
      <c r="Y12" s="249">
        <v>15523.53</v>
      </c>
    </row>
    <row r="13" spans="1:25" ht="12" customHeight="1">
      <c r="A13" s="248" t="s">
        <v>581</v>
      </c>
      <c r="B13" s="248" t="s">
        <v>582</v>
      </c>
      <c r="C13" s="248" t="s">
        <v>573</v>
      </c>
      <c r="D13" s="249">
        <v>9350</v>
      </c>
      <c r="E13" s="249">
        <v>0.79779999999999995</v>
      </c>
      <c r="F13" s="249">
        <v>7459.43</v>
      </c>
      <c r="G13" s="249">
        <v>5.7500000000000002E-2</v>
      </c>
      <c r="H13" s="249">
        <v>537.62</v>
      </c>
      <c r="I13" s="249">
        <v>3.3999999999999998E-3</v>
      </c>
      <c r="J13" s="249">
        <v>32.08</v>
      </c>
      <c r="K13" s="249">
        <v>0</v>
      </c>
      <c r="L13" s="249">
        <v>0</v>
      </c>
      <c r="M13" s="249">
        <v>0</v>
      </c>
      <c r="N13" s="249">
        <v>0</v>
      </c>
      <c r="O13" s="249">
        <v>2.9999999999999997E-4</v>
      </c>
      <c r="P13" s="249">
        <v>2.5299999999999998</v>
      </c>
      <c r="Q13" s="249">
        <v>0</v>
      </c>
      <c r="R13" s="249">
        <v>0</v>
      </c>
      <c r="S13" s="249">
        <v>2.98E-2</v>
      </c>
      <c r="T13" s="249">
        <v>278.94</v>
      </c>
      <c r="U13" s="249">
        <v>5.9999999999999995E-4</v>
      </c>
      <c r="V13" s="249">
        <v>5.8</v>
      </c>
      <c r="W13" s="249">
        <v>0.88949999999999996</v>
      </c>
      <c r="X13" s="249">
        <v>8316.4</v>
      </c>
      <c r="Y13" s="249">
        <v>17666.400000000001</v>
      </c>
    </row>
    <row r="14" spans="1:25" ht="12" customHeight="1">
      <c r="A14" s="248" t="s">
        <v>583</v>
      </c>
      <c r="B14" s="248" t="s">
        <v>584</v>
      </c>
      <c r="C14" s="248" t="s">
        <v>573</v>
      </c>
      <c r="D14" s="249">
        <v>10182.219999999999</v>
      </c>
      <c r="E14" s="249">
        <v>0.79779999999999995</v>
      </c>
      <c r="F14" s="249">
        <v>8123.37</v>
      </c>
      <c r="G14" s="249">
        <v>5.28E-2</v>
      </c>
      <c r="H14" s="249">
        <v>537.62</v>
      </c>
      <c r="I14" s="249">
        <v>3.2000000000000002E-3</v>
      </c>
      <c r="J14" s="249">
        <v>32.08</v>
      </c>
      <c r="K14" s="249">
        <v>0</v>
      </c>
      <c r="L14" s="249">
        <v>0</v>
      </c>
      <c r="M14" s="249">
        <v>0</v>
      </c>
      <c r="N14" s="249">
        <v>0</v>
      </c>
      <c r="O14" s="249">
        <v>2.0000000000000001E-4</v>
      </c>
      <c r="P14" s="249">
        <v>2.5299999999999998</v>
      </c>
      <c r="Q14" s="249">
        <v>0</v>
      </c>
      <c r="R14" s="249">
        <v>0</v>
      </c>
      <c r="S14" s="249">
        <v>2.7400000000000001E-2</v>
      </c>
      <c r="T14" s="249">
        <v>278.94</v>
      </c>
      <c r="U14" s="249">
        <v>5.9999999999999995E-4</v>
      </c>
      <c r="V14" s="249">
        <v>5.8</v>
      </c>
      <c r="W14" s="249">
        <v>0.88200000000000001</v>
      </c>
      <c r="X14" s="249">
        <v>8980.35</v>
      </c>
      <c r="Y14" s="249">
        <v>19162.560000000001</v>
      </c>
    </row>
    <row r="15" spans="1:25" ht="12" customHeight="1">
      <c r="A15" s="248" t="s">
        <v>585</v>
      </c>
      <c r="B15" s="248" t="s">
        <v>586</v>
      </c>
      <c r="C15" s="248" t="s">
        <v>573</v>
      </c>
      <c r="D15" s="249">
        <v>13043.25</v>
      </c>
      <c r="E15" s="249">
        <v>0.79779999999999995</v>
      </c>
      <c r="F15" s="249">
        <v>10405.9</v>
      </c>
      <c r="G15" s="249">
        <v>4.1200000000000001E-2</v>
      </c>
      <c r="H15" s="249">
        <v>537.62</v>
      </c>
      <c r="I15" s="249">
        <v>2.5000000000000001E-3</v>
      </c>
      <c r="J15" s="249">
        <v>32.08</v>
      </c>
      <c r="K15" s="249">
        <v>0</v>
      </c>
      <c r="L15" s="249">
        <v>0</v>
      </c>
      <c r="M15" s="249">
        <v>0</v>
      </c>
      <c r="N15" s="249">
        <v>0</v>
      </c>
      <c r="O15" s="249">
        <v>2.0000000000000001E-4</v>
      </c>
      <c r="P15" s="249">
        <v>2.5299999999999998</v>
      </c>
      <c r="Q15" s="249">
        <v>0</v>
      </c>
      <c r="R15" s="249">
        <v>0</v>
      </c>
      <c r="S15" s="249">
        <v>2.1399999999999999E-2</v>
      </c>
      <c r="T15" s="249">
        <v>278.94</v>
      </c>
      <c r="U15" s="249">
        <v>4.0000000000000002E-4</v>
      </c>
      <c r="V15" s="249">
        <v>5.8</v>
      </c>
      <c r="W15" s="249">
        <v>0.86350000000000005</v>
      </c>
      <c r="X15" s="249">
        <v>11262.88</v>
      </c>
      <c r="Y15" s="249">
        <v>24306.13</v>
      </c>
    </row>
    <row r="16" spans="1:25" ht="12" customHeight="1">
      <c r="A16" s="248" t="s">
        <v>587</v>
      </c>
      <c r="B16" s="248" t="s">
        <v>588</v>
      </c>
      <c r="C16" s="248" t="s">
        <v>573</v>
      </c>
      <c r="D16" s="249">
        <v>2633.46</v>
      </c>
      <c r="E16" s="249">
        <v>0.80730000000000002</v>
      </c>
      <c r="F16" s="249">
        <v>2125.9899999999998</v>
      </c>
      <c r="G16" s="249">
        <v>0.20419999999999999</v>
      </c>
      <c r="H16" s="249">
        <v>537.62</v>
      </c>
      <c r="I16" s="249">
        <v>1.2200000000000001E-2</v>
      </c>
      <c r="J16" s="249">
        <v>32.08</v>
      </c>
      <c r="K16" s="249">
        <v>0</v>
      </c>
      <c r="L16" s="249">
        <v>0</v>
      </c>
      <c r="M16" s="249">
        <v>2.3199999999999998E-2</v>
      </c>
      <c r="N16" s="249">
        <v>61.02</v>
      </c>
      <c r="O16" s="249">
        <v>1.5E-3</v>
      </c>
      <c r="P16" s="249">
        <v>4.07</v>
      </c>
      <c r="Q16" s="249">
        <v>0</v>
      </c>
      <c r="R16" s="249">
        <v>0</v>
      </c>
      <c r="S16" s="249">
        <v>0.10589999999999999</v>
      </c>
      <c r="T16" s="249">
        <v>278.94</v>
      </c>
      <c r="U16" s="249">
        <v>2.2000000000000001E-3</v>
      </c>
      <c r="V16" s="249">
        <v>5.8</v>
      </c>
      <c r="W16" s="249">
        <v>1.1565000000000001</v>
      </c>
      <c r="X16" s="249">
        <v>3045.53</v>
      </c>
      <c r="Y16" s="249">
        <v>5678.98</v>
      </c>
    </row>
    <row r="17" spans="1:25" ht="12" customHeight="1">
      <c r="A17" s="248" t="s">
        <v>589</v>
      </c>
      <c r="B17" s="248" t="s">
        <v>590</v>
      </c>
      <c r="C17" s="248" t="s">
        <v>573</v>
      </c>
      <c r="D17" s="249">
        <v>3511.28</v>
      </c>
      <c r="E17" s="249">
        <v>0.80730000000000002</v>
      </c>
      <c r="F17" s="249">
        <v>2834.65</v>
      </c>
      <c r="G17" s="249">
        <v>0.15310000000000001</v>
      </c>
      <c r="H17" s="249">
        <v>537.62</v>
      </c>
      <c r="I17" s="249">
        <v>9.1000000000000004E-3</v>
      </c>
      <c r="J17" s="249">
        <v>32.08</v>
      </c>
      <c r="K17" s="249">
        <v>0</v>
      </c>
      <c r="L17" s="249">
        <v>0</v>
      </c>
      <c r="M17" s="249">
        <v>2.3999999999999998E-3</v>
      </c>
      <c r="N17" s="249">
        <v>8.36</v>
      </c>
      <c r="O17" s="249">
        <v>1.1999999999999999E-3</v>
      </c>
      <c r="P17" s="249">
        <v>4.07</v>
      </c>
      <c r="Q17" s="249">
        <v>0</v>
      </c>
      <c r="R17" s="249">
        <v>0</v>
      </c>
      <c r="S17" s="249">
        <v>7.9399999999999998E-2</v>
      </c>
      <c r="T17" s="249">
        <v>278.94</v>
      </c>
      <c r="U17" s="249">
        <v>1.6999999999999999E-3</v>
      </c>
      <c r="V17" s="249">
        <v>5.8</v>
      </c>
      <c r="W17" s="249">
        <v>1.0542</v>
      </c>
      <c r="X17" s="249">
        <v>3701.52</v>
      </c>
      <c r="Y17" s="249">
        <v>7212.8</v>
      </c>
    </row>
    <row r="18" spans="1:25" ht="12" customHeight="1">
      <c r="A18" s="248" t="s">
        <v>591</v>
      </c>
      <c r="B18" s="248" t="s">
        <v>592</v>
      </c>
      <c r="C18" s="248" t="s">
        <v>573</v>
      </c>
      <c r="D18" s="249">
        <v>6505.85</v>
      </c>
      <c r="E18" s="249">
        <v>0.80730000000000002</v>
      </c>
      <c r="F18" s="249">
        <v>5252.17</v>
      </c>
      <c r="G18" s="249">
        <v>8.2600000000000007E-2</v>
      </c>
      <c r="H18" s="249">
        <v>537.62</v>
      </c>
      <c r="I18" s="249">
        <v>4.8999999999999998E-3</v>
      </c>
      <c r="J18" s="249">
        <v>32.08</v>
      </c>
      <c r="K18" s="249">
        <v>0</v>
      </c>
      <c r="L18" s="249">
        <v>0</v>
      </c>
      <c r="M18" s="249">
        <v>0</v>
      </c>
      <c r="N18" s="249">
        <v>0</v>
      </c>
      <c r="O18" s="249">
        <v>5.9999999999999995E-4</v>
      </c>
      <c r="P18" s="249">
        <v>4.07</v>
      </c>
      <c r="Q18" s="249">
        <v>0</v>
      </c>
      <c r="R18" s="249">
        <v>0</v>
      </c>
      <c r="S18" s="249">
        <v>4.2900000000000001E-2</v>
      </c>
      <c r="T18" s="249">
        <v>278.94</v>
      </c>
      <c r="U18" s="249">
        <v>8.9999999999999998E-4</v>
      </c>
      <c r="V18" s="249">
        <v>5.8</v>
      </c>
      <c r="W18" s="249">
        <v>0.93930000000000002</v>
      </c>
      <c r="X18" s="249">
        <v>6110.69</v>
      </c>
      <c r="Y18" s="249">
        <v>12616.54</v>
      </c>
    </row>
    <row r="19" spans="1:25" ht="12" customHeight="1">
      <c r="A19" s="248" t="s">
        <v>593</v>
      </c>
      <c r="B19" s="248" t="s">
        <v>594</v>
      </c>
      <c r="C19" s="248" t="s">
        <v>573</v>
      </c>
      <c r="D19" s="249">
        <v>1278.44</v>
      </c>
      <c r="E19" s="249">
        <v>0.78990000000000005</v>
      </c>
      <c r="F19" s="249">
        <v>1009.84</v>
      </c>
      <c r="G19" s="249">
        <v>0.42049999999999998</v>
      </c>
      <c r="H19" s="249">
        <v>537.62</v>
      </c>
      <c r="I19" s="249">
        <v>0</v>
      </c>
      <c r="J19" s="249">
        <v>0</v>
      </c>
      <c r="K19" s="249">
        <v>1.6000000000000001E-3</v>
      </c>
      <c r="L19" s="249">
        <v>2.08</v>
      </c>
      <c r="M19" s="249">
        <v>0.1113</v>
      </c>
      <c r="N19" s="249">
        <v>142.33000000000001</v>
      </c>
      <c r="O19" s="249">
        <v>3.3999999999999998E-3</v>
      </c>
      <c r="P19" s="249">
        <v>4.3899999999999997</v>
      </c>
      <c r="Q19" s="249">
        <v>0</v>
      </c>
      <c r="R19" s="249">
        <v>0</v>
      </c>
      <c r="S19" s="249">
        <v>0.21820000000000001</v>
      </c>
      <c r="T19" s="249">
        <v>278.94</v>
      </c>
      <c r="U19" s="249">
        <v>4.4999999999999997E-3</v>
      </c>
      <c r="V19" s="249">
        <v>5.8</v>
      </c>
      <c r="W19" s="249">
        <v>1.5495000000000001</v>
      </c>
      <c r="X19" s="249">
        <v>1981.01</v>
      </c>
      <c r="Y19" s="249">
        <v>3259.45</v>
      </c>
    </row>
    <row r="20" spans="1:25" ht="12" customHeight="1">
      <c r="A20" s="251" t="s">
        <v>595</v>
      </c>
      <c r="B20" s="251" t="s">
        <v>596</v>
      </c>
      <c r="C20" s="248" t="s">
        <v>573</v>
      </c>
      <c r="D20" s="249">
        <v>1571.39</v>
      </c>
      <c r="E20" s="249">
        <v>0.79079999999999995</v>
      </c>
      <c r="F20" s="249">
        <v>1242.6600000000001</v>
      </c>
      <c r="G20" s="249">
        <v>0.34210000000000002</v>
      </c>
      <c r="H20" s="249">
        <v>537.62</v>
      </c>
      <c r="I20" s="249">
        <v>0</v>
      </c>
      <c r="J20" s="249">
        <v>0</v>
      </c>
      <c r="K20" s="249">
        <v>0</v>
      </c>
      <c r="L20" s="249">
        <v>0</v>
      </c>
      <c r="M20" s="249">
        <v>7.9399999999999998E-2</v>
      </c>
      <c r="N20" s="249">
        <v>124.75</v>
      </c>
      <c r="O20" s="249">
        <v>2.5000000000000001E-3</v>
      </c>
      <c r="P20" s="249">
        <v>3.92</v>
      </c>
      <c r="Q20" s="249">
        <v>0</v>
      </c>
      <c r="R20" s="249">
        <v>0</v>
      </c>
      <c r="S20" s="249">
        <v>0.17749999999999999</v>
      </c>
      <c r="T20" s="249">
        <v>278.94</v>
      </c>
      <c r="U20" s="249">
        <v>3.7000000000000002E-3</v>
      </c>
      <c r="V20" s="249">
        <v>5.8</v>
      </c>
      <c r="W20" s="249">
        <v>1.3959999999999999</v>
      </c>
      <c r="X20" s="249">
        <v>2193.69</v>
      </c>
      <c r="Y20" s="249">
        <v>3765.08</v>
      </c>
    </row>
    <row r="21" spans="1:25" ht="12" customHeight="1">
      <c r="A21" s="248" t="s">
        <v>597</v>
      </c>
      <c r="B21" s="248" t="s">
        <v>598</v>
      </c>
      <c r="C21" s="248" t="s">
        <v>573</v>
      </c>
      <c r="D21" s="249">
        <v>1521.21</v>
      </c>
      <c r="E21" s="249">
        <v>0.78749999999999998</v>
      </c>
      <c r="F21" s="249">
        <v>1197.95</v>
      </c>
      <c r="G21" s="249">
        <v>0.35339999999999999</v>
      </c>
      <c r="H21" s="249">
        <v>537.62</v>
      </c>
      <c r="I21" s="249">
        <v>0</v>
      </c>
      <c r="J21" s="249">
        <v>0</v>
      </c>
      <c r="K21" s="249">
        <v>2.8999999999999998E-3</v>
      </c>
      <c r="L21" s="249">
        <v>4.4000000000000004</v>
      </c>
      <c r="M21" s="249">
        <v>8.4000000000000005E-2</v>
      </c>
      <c r="N21" s="249">
        <v>127.76</v>
      </c>
      <c r="O21" s="249">
        <v>2.5000000000000001E-3</v>
      </c>
      <c r="P21" s="249">
        <v>3.75</v>
      </c>
      <c r="Q21" s="249">
        <v>0</v>
      </c>
      <c r="R21" s="249">
        <v>0</v>
      </c>
      <c r="S21" s="249">
        <v>0.18340000000000001</v>
      </c>
      <c r="T21" s="249">
        <v>278.94</v>
      </c>
      <c r="U21" s="249">
        <v>3.8E-3</v>
      </c>
      <c r="V21" s="249">
        <v>5.8</v>
      </c>
      <c r="W21" s="249">
        <v>1.4174</v>
      </c>
      <c r="X21" s="249">
        <v>2156.2199999999998</v>
      </c>
      <c r="Y21" s="249">
        <v>3677.43</v>
      </c>
    </row>
    <row r="22" spans="1:25" ht="12" customHeight="1">
      <c r="A22" s="248" t="s">
        <v>599</v>
      </c>
      <c r="B22" s="248" t="s">
        <v>600</v>
      </c>
      <c r="C22" s="248" t="s">
        <v>573</v>
      </c>
      <c r="D22" s="249">
        <v>1278.44</v>
      </c>
      <c r="E22" s="249">
        <v>0.80269999999999997</v>
      </c>
      <c r="F22" s="249">
        <v>1026.21</v>
      </c>
      <c r="G22" s="249">
        <v>0.42049999999999998</v>
      </c>
      <c r="H22" s="249">
        <v>537.62</v>
      </c>
      <c r="I22" s="249">
        <v>3.0499999999999999E-2</v>
      </c>
      <c r="J22" s="249">
        <v>39.049999999999997</v>
      </c>
      <c r="K22" s="249">
        <v>1.5E-3</v>
      </c>
      <c r="L22" s="249">
        <v>1.86</v>
      </c>
      <c r="M22" s="249">
        <v>0.1113</v>
      </c>
      <c r="N22" s="249">
        <v>142.33000000000001</v>
      </c>
      <c r="O22" s="249">
        <v>3.2000000000000002E-3</v>
      </c>
      <c r="P22" s="249">
        <v>4.09</v>
      </c>
      <c r="Q22" s="249">
        <v>0</v>
      </c>
      <c r="R22" s="249">
        <v>0</v>
      </c>
      <c r="S22" s="249">
        <v>0.21820000000000001</v>
      </c>
      <c r="T22" s="249">
        <v>278.94</v>
      </c>
      <c r="U22" s="249">
        <v>4.4999999999999997E-3</v>
      </c>
      <c r="V22" s="249">
        <v>5.8</v>
      </c>
      <c r="W22" s="249">
        <v>1.5925</v>
      </c>
      <c r="X22" s="249">
        <v>2035.89</v>
      </c>
      <c r="Y22" s="249">
        <v>3314.33</v>
      </c>
    </row>
    <row r="23" spans="1:25" ht="12" customHeight="1">
      <c r="A23" s="248" t="s">
        <v>601</v>
      </c>
      <c r="B23" s="248" t="s">
        <v>602</v>
      </c>
      <c r="C23" s="248" t="s">
        <v>573</v>
      </c>
      <c r="D23" s="249">
        <v>2811.6</v>
      </c>
      <c r="E23" s="249">
        <v>0.79979999999999996</v>
      </c>
      <c r="F23" s="249">
        <v>2248.7199999999998</v>
      </c>
      <c r="G23" s="249">
        <v>0.19120000000000001</v>
      </c>
      <c r="H23" s="249">
        <v>537.62</v>
      </c>
      <c r="I23" s="249">
        <v>1.14E-2</v>
      </c>
      <c r="J23" s="249">
        <v>32.08</v>
      </c>
      <c r="K23" s="249">
        <v>0</v>
      </c>
      <c r="L23" s="249">
        <v>0</v>
      </c>
      <c r="M23" s="249">
        <v>1.7899999999999999E-2</v>
      </c>
      <c r="N23" s="249">
        <v>50.34</v>
      </c>
      <c r="O23" s="249">
        <v>1.1999999999999999E-3</v>
      </c>
      <c r="P23" s="249">
        <v>3.37</v>
      </c>
      <c r="Q23" s="249">
        <v>0</v>
      </c>
      <c r="R23" s="249">
        <v>0</v>
      </c>
      <c r="S23" s="249">
        <v>9.9199999999999997E-2</v>
      </c>
      <c r="T23" s="249">
        <v>278.94</v>
      </c>
      <c r="U23" s="249">
        <v>2.0999999999999999E-3</v>
      </c>
      <c r="V23" s="249">
        <v>5.8</v>
      </c>
      <c r="W23" s="249">
        <v>1.1228</v>
      </c>
      <c r="X23" s="249">
        <v>3156.86</v>
      </c>
      <c r="Y23" s="249">
        <v>5968.46</v>
      </c>
    </row>
    <row r="24" spans="1:25" ht="12" customHeight="1">
      <c r="A24" s="248" t="s">
        <v>603</v>
      </c>
      <c r="B24" s="248" t="s">
        <v>604</v>
      </c>
      <c r="C24" s="248" t="s">
        <v>573</v>
      </c>
      <c r="D24" s="249">
        <v>3748.8</v>
      </c>
      <c r="E24" s="249">
        <v>0.79979999999999996</v>
      </c>
      <c r="F24" s="249">
        <v>2998.29</v>
      </c>
      <c r="G24" s="249">
        <v>0.1434</v>
      </c>
      <c r="H24" s="249">
        <v>537.62</v>
      </c>
      <c r="I24" s="249">
        <v>8.6E-3</v>
      </c>
      <c r="J24" s="249">
        <v>32.08</v>
      </c>
      <c r="K24" s="249">
        <v>0</v>
      </c>
      <c r="L24" s="249">
        <v>0</v>
      </c>
      <c r="M24" s="249">
        <v>0</v>
      </c>
      <c r="N24" s="249">
        <v>0</v>
      </c>
      <c r="O24" s="249">
        <v>8.9999999999999998E-4</v>
      </c>
      <c r="P24" s="249">
        <v>3.37</v>
      </c>
      <c r="Q24" s="249">
        <v>0</v>
      </c>
      <c r="R24" s="249">
        <v>0</v>
      </c>
      <c r="S24" s="249">
        <v>7.4399999999999994E-2</v>
      </c>
      <c r="T24" s="249">
        <v>278.94</v>
      </c>
      <c r="U24" s="249">
        <v>1.5E-3</v>
      </c>
      <c r="V24" s="249">
        <v>5.8</v>
      </c>
      <c r="W24" s="249">
        <v>1.0286</v>
      </c>
      <c r="X24" s="249">
        <v>3856.1</v>
      </c>
      <c r="Y24" s="249">
        <v>7604.89</v>
      </c>
    </row>
    <row r="25" spans="1:25" ht="12" customHeight="1">
      <c r="A25" s="248" t="s">
        <v>605</v>
      </c>
      <c r="B25" s="248" t="s">
        <v>606</v>
      </c>
      <c r="C25" s="248" t="s">
        <v>573</v>
      </c>
      <c r="D25" s="249">
        <v>6190.33</v>
      </c>
      <c r="E25" s="249">
        <v>0.79979999999999996</v>
      </c>
      <c r="F25" s="249">
        <v>4951.03</v>
      </c>
      <c r="G25" s="249">
        <v>8.6800000000000002E-2</v>
      </c>
      <c r="H25" s="249">
        <v>537.62</v>
      </c>
      <c r="I25" s="249">
        <v>5.1999999999999998E-3</v>
      </c>
      <c r="J25" s="249">
        <v>32.08</v>
      </c>
      <c r="K25" s="249">
        <v>0</v>
      </c>
      <c r="L25" s="249">
        <v>0</v>
      </c>
      <c r="M25" s="249">
        <v>0</v>
      </c>
      <c r="N25" s="249">
        <v>0</v>
      </c>
      <c r="O25" s="249">
        <v>5.0000000000000001E-4</v>
      </c>
      <c r="P25" s="249">
        <v>3.37</v>
      </c>
      <c r="Q25" s="249">
        <v>0</v>
      </c>
      <c r="R25" s="249">
        <v>0</v>
      </c>
      <c r="S25" s="249">
        <v>4.5100000000000001E-2</v>
      </c>
      <c r="T25" s="249">
        <v>278.94</v>
      </c>
      <c r="U25" s="249">
        <v>8.9999999999999998E-4</v>
      </c>
      <c r="V25" s="249">
        <v>5.8</v>
      </c>
      <c r="W25" s="249">
        <v>0.93840000000000001</v>
      </c>
      <c r="X25" s="249">
        <v>5808.83</v>
      </c>
      <c r="Y25" s="249">
        <v>11999.17</v>
      </c>
    </row>
    <row r="26" spans="1:25" ht="12" customHeight="1">
      <c r="A26" s="251" t="s">
        <v>607</v>
      </c>
      <c r="B26" s="251" t="s">
        <v>608</v>
      </c>
      <c r="C26" s="248" t="s">
        <v>573</v>
      </c>
      <c r="D26" s="249">
        <v>3537.38</v>
      </c>
      <c r="E26" s="249">
        <v>0.80159999999999998</v>
      </c>
      <c r="F26" s="249">
        <v>2835.56</v>
      </c>
      <c r="G26" s="249">
        <v>0.152</v>
      </c>
      <c r="H26" s="249">
        <v>537.62</v>
      </c>
      <c r="I26" s="249">
        <v>0</v>
      </c>
      <c r="J26" s="249">
        <v>0</v>
      </c>
      <c r="K26" s="249">
        <v>0</v>
      </c>
      <c r="L26" s="249">
        <v>0</v>
      </c>
      <c r="M26" s="249">
        <v>1.9E-3</v>
      </c>
      <c r="N26" s="249">
        <v>6.79</v>
      </c>
      <c r="O26" s="249">
        <v>8.9999999999999998E-4</v>
      </c>
      <c r="P26" s="249">
        <v>3.05</v>
      </c>
      <c r="Q26" s="249">
        <v>0</v>
      </c>
      <c r="R26" s="249">
        <v>0</v>
      </c>
      <c r="S26" s="249">
        <v>7.8899999999999998E-2</v>
      </c>
      <c r="T26" s="249">
        <v>278.94</v>
      </c>
      <c r="U26" s="249">
        <v>1.6000000000000001E-3</v>
      </c>
      <c r="V26" s="249">
        <v>5.8</v>
      </c>
      <c r="W26" s="249">
        <v>1.0368999999999999</v>
      </c>
      <c r="X26" s="249">
        <v>3667.76</v>
      </c>
      <c r="Y26" s="249">
        <v>7205.14</v>
      </c>
    </row>
    <row r="27" spans="1:25" ht="12" customHeight="1">
      <c r="A27" s="248" t="s">
        <v>609</v>
      </c>
      <c r="B27" s="248" t="s">
        <v>610</v>
      </c>
      <c r="C27" s="248" t="s">
        <v>573</v>
      </c>
      <c r="D27" s="249">
        <v>3706.89</v>
      </c>
      <c r="E27" s="249">
        <v>0.7994</v>
      </c>
      <c r="F27" s="249">
        <v>2963.29</v>
      </c>
      <c r="G27" s="249">
        <v>0.14499999999999999</v>
      </c>
      <c r="H27" s="249">
        <v>537.62</v>
      </c>
      <c r="I27" s="249">
        <v>0</v>
      </c>
      <c r="J27" s="249">
        <v>0</v>
      </c>
      <c r="K27" s="249">
        <v>0</v>
      </c>
      <c r="L27" s="249">
        <v>0</v>
      </c>
      <c r="M27" s="249">
        <v>0</v>
      </c>
      <c r="N27" s="249">
        <v>0</v>
      </c>
      <c r="O27" s="249">
        <v>6.9999999999999999E-4</v>
      </c>
      <c r="P27" s="249">
        <v>2.78</v>
      </c>
      <c r="Q27" s="249">
        <v>0</v>
      </c>
      <c r="R27" s="249">
        <v>0</v>
      </c>
      <c r="S27" s="249">
        <v>7.5200000000000003E-2</v>
      </c>
      <c r="T27" s="249">
        <v>278.94</v>
      </c>
      <c r="U27" s="249">
        <v>1.6000000000000001E-3</v>
      </c>
      <c r="V27" s="249">
        <v>5.8</v>
      </c>
      <c r="W27" s="249">
        <v>1.022</v>
      </c>
      <c r="X27" s="249">
        <v>3788.43</v>
      </c>
      <c r="Y27" s="249">
        <v>7495.33</v>
      </c>
    </row>
    <row r="28" spans="1:25" ht="12" customHeight="1">
      <c r="A28" s="248" t="s">
        <v>611</v>
      </c>
      <c r="B28" s="248" t="s">
        <v>612</v>
      </c>
      <c r="C28" s="248" t="s">
        <v>573</v>
      </c>
      <c r="D28" s="249">
        <v>4942.5200000000004</v>
      </c>
      <c r="E28" s="249">
        <v>0.7994</v>
      </c>
      <c r="F28" s="249">
        <v>3951.05</v>
      </c>
      <c r="G28" s="249">
        <v>0.10879999999999999</v>
      </c>
      <c r="H28" s="249">
        <v>537.62</v>
      </c>
      <c r="I28" s="249">
        <v>0</v>
      </c>
      <c r="J28" s="249">
        <v>0</v>
      </c>
      <c r="K28" s="249">
        <v>0</v>
      </c>
      <c r="L28" s="249">
        <v>0</v>
      </c>
      <c r="M28" s="249">
        <v>0</v>
      </c>
      <c r="N28" s="249">
        <v>0</v>
      </c>
      <c r="O28" s="249">
        <v>5.9999999999999995E-4</v>
      </c>
      <c r="P28" s="249">
        <v>2.78</v>
      </c>
      <c r="Q28" s="249">
        <v>0</v>
      </c>
      <c r="R28" s="249">
        <v>0</v>
      </c>
      <c r="S28" s="249">
        <v>5.6399999999999999E-2</v>
      </c>
      <c r="T28" s="249">
        <v>278.94</v>
      </c>
      <c r="U28" s="249">
        <v>1.1999999999999999E-3</v>
      </c>
      <c r="V28" s="249">
        <v>5.8</v>
      </c>
      <c r="W28" s="249">
        <v>0.96630000000000005</v>
      </c>
      <c r="X28" s="249">
        <v>4776.2</v>
      </c>
      <c r="Y28" s="249">
        <v>9718.7199999999993</v>
      </c>
    </row>
    <row r="29" spans="1:25" ht="12" customHeight="1">
      <c r="A29" s="248" t="s">
        <v>613</v>
      </c>
      <c r="B29" s="248" t="s">
        <v>614</v>
      </c>
      <c r="C29" s="248" t="s">
        <v>573</v>
      </c>
      <c r="D29" s="249">
        <v>9612.06</v>
      </c>
      <c r="E29" s="249">
        <v>0.7994</v>
      </c>
      <c r="F29" s="249">
        <v>7683.88</v>
      </c>
      <c r="G29" s="249">
        <v>5.5899999999999998E-2</v>
      </c>
      <c r="H29" s="249">
        <v>537.62</v>
      </c>
      <c r="I29" s="249">
        <v>0</v>
      </c>
      <c r="J29" s="249">
        <v>0</v>
      </c>
      <c r="K29" s="249">
        <v>0</v>
      </c>
      <c r="L29" s="249">
        <v>0</v>
      </c>
      <c r="M29" s="249">
        <v>0</v>
      </c>
      <c r="N29" s="249">
        <v>0</v>
      </c>
      <c r="O29" s="249">
        <v>2.9999999999999997E-4</v>
      </c>
      <c r="P29" s="249">
        <v>2.78</v>
      </c>
      <c r="Q29" s="249">
        <v>0</v>
      </c>
      <c r="R29" s="249">
        <v>0</v>
      </c>
      <c r="S29" s="249">
        <v>2.9000000000000001E-2</v>
      </c>
      <c r="T29" s="249">
        <v>278.94</v>
      </c>
      <c r="U29" s="249">
        <v>5.9999999999999995E-4</v>
      </c>
      <c r="V29" s="249">
        <v>5.8</v>
      </c>
      <c r="W29" s="249">
        <v>0.88519999999999999</v>
      </c>
      <c r="X29" s="249">
        <v>8509.0300000000007</v>
      </c>
      <c r="Y29" s="249">
        <v>18121.09</v>
      </c>
    </row>
    <row r="30" spans="1:25" ht="12" customHeight="1">
      <c r="A30" s="248" t="s">
        <v>615</v>
      </c>
      <c r="B30" s="248" t="s">
        <v>616</v>
      </c>
      <c r="C30" s="248" t="s">
        <v>573</v>
      </c>
      <c r="D30" s="249">
        <v>15074.93</v>
      </c>
      <c r="E30" s="249">
        <v>0.8</v>
      </c>
      <c r="F30" s="249">
        <v>12059.94</v>
      </c>
      <c r="G30" s="249">
        <v>3.5700000000000003E-2</v>
      </c>
      <c r="H30" s="249">
        <v>537.62</v>
      </c>
      <c r="I30" s="249">
        <v>0</v>
      </c>
      <c r="J30" s="249">
        <v>0</v>
      </c>
      <c r="K30" s="249">
        <v>0</v>
      </c>
      <c r="L30" s="249">
        <v>0</v>
      </c>
      <c r="M30" s="249">
        <v>0</v>
      </c>
      <c r="N30" s="249">
        <v>0</v>
      </c>
      <c r="O30" s="249">
        <v>2.0000000000000001E-4</v>
      </c>
      <c r="P30" s="249">
        <v>2.92</v>
      </c>
      <c r="Q30" s="249">
        <v>0</v>
      </c>
      <c r="R30" s="249">
        <v>0</v>
      </c>
      <c r="S30" s="249">
        <v>1.8499999999999999E-2</v>
      </c>
      <c r="T30" s="249">
        <v>278.94</v>
      </c>
      <c r="U30" s="249">
        <v>4.0000000000000002E-4</v>
      </c>
      <c r="V30" s="249">
        <v>5.8</v>
      </c>
      <c r="W30" s="249">
        <v>0.85470000000000002</v>
      </c>
      <c r="X30" s="249">
        <v>12885.22</v>
      </c>
      <c r="Y30" s="249">
        <v>27960.16</v>
      </c>
    </row>
    <row r="31" spans="1:25" ht="12" customHeight="1">
      <c r="A31" s="248" t="s">
        <v>617</v>
      </c>
      <c r="B31" s="248" t="s">
        <v>618</v>
      </c>
      <c r="C31" s="248" t="s">
        <v>573</v>
      </c>
      <c r="D31" s="249">
        <v>4876.38</v>
      </c>
      <c r="E31" s="249">
        <v>0.8</v>
      </c>
      <c r="F31" s="249">
        <v>3901.11</v>
      </c>
      <c r="G31" s="249">
        <v>0.1103</v>
      </c>
      <c r="H31" s="249">
        <v>537.62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6.9999999999999999E-4</v>
      </c>
      <c r="P31" s="249">
        <v>3.4</v>
      </c>
      <c r="Q31" s="249">
        <v>0</v>
      </c>
      <c r="R31" s="249">
        <v>0</v>
      </c>
      <c r="S31" s="249">
        <v>5.7200000000000001E-2</v>
      </c>
      <c r="T31" s="249">
        <v>278.94</v>
      </c>
      <c r="U31" s="249">
        <v>1.1999999999999999E-3</v>
      </c>
      <c r="V31" s="249">
        <v>5.8</v>
      </c>
      <c r="W31" s="249">
        <v>0.96930000000000005</v>
      </c>
      <c r="X31" s="249">
        <v>4726.87</v>
      </c>
      <c r="Y31" s="249">
        <v>9603.26</v>
      </c>
    </row>
    <row r="32" spans="1:25" ht="12" customHeight="1">
      <c r="A32" s="248" t="s">
        <v>619</v>
      </c>
      <c r="B32" s="248" t="s">
        <v>620</v>
      </c>
      <c r="C32" s="248" t="s">
        <v>573</v>
      </c>
      <c r="D32" s="249">
        <v>6501.85</v>
      </c>
      <c r="E32" s="249">
        <v>0.8</v>
      </c>
      <c r="F32" s="249">
        <v>5201.4799999999996</v>
      </c>
      <c r="G32" s="249">
        <v>8.2699999999999996E-2</v>
      </c>
      <c r="H32" s="249">
        <v>537.62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  <c r="O32" s="249">
        <v>5.0000000000000001E-4</v>
      </c>
      <c r="P32" s="249">
        <v>3.4</v>
      </c>
      <c r="Q32" s="249">
        <v>0</v>
      </c>
      <c r="R32" s="249">
        <v>0</v>
      </c>
      <c r="S32" s="249">
        <v>4.2900000000000001E-2</v>
      </c>
      <c r="T32" s="249">
        <v>278.94</v>
      </c>
      <c r="U32" s="249">
        <v>8.9999999999999998E-4</v>
      </c>
      <c r="V32" s="249">
        <v>5.8</v>
      </c>
      <c r="W32" s="249">
        <v>0.92700000000000005</v>
      </c>
      <c r="X32" s="249">
        <v>6027.24</v>
      </c>
      <c r="Y32" s="249">
        <v>12529.09</v>
      </c>
    </row>
    <row r="33" spans="1:25" ht="12" customHeight="1">
      <c r="A33" s="248" t="s">
        <v>621</v>
      </c>
      <c r="B33" s="248" t="s">
        <v>622</v>
      </c>
      <c r="C33" s="248" t="s">
        <v>573</v>
      </c>
      <c r="D33" s="249">
        <v>11921.55</v>
      </c>
      <c r="E33" s="249">
        <v>0.8</v>
      </c>
      <c r="F33" s="249">
        <v>9537.24</v>
      </c>
      <c r="G33" s="249">
        <v>4.5100000000000001E-2</v>
      </c>
      <c r="H33" s="249">
        <v>537.62</v>
      </c>
      <c r="I33" s="249">
        <v>0</v>
      </c>
      <c r="J33" s="249">
        <v>0</v>
      </c>
      <c r="K33" s="249">
        <v>0</v>
      </c>
      <c r="L33" s="249">
        <v>0</v>
      </c>
      <c r="M33" s="249">
        <v>0</v>
      </c>
      <c r="N33" s="249">
        <v>0</v>
      </c>
      <c r="O33" s="249">
        <v>2.9999999999999997E-4</v>
      </c>
      <c r="P33" s="249">
        <v>3.4</v>
      </c>
      <c r="Q33" s="249">
        <v>0</v>
      </c>
      <c r="R33" s="249">
        <v>0</v>
      </c>
      <c r="S33" s="249">
        <v>2.3400000000000001E-2</v>
      </c>
      <c r="T33" s="249">
        <v>278.94</v>
      </c>
      <c r="U33" s="249">
        <v>5.0000000000000001E-4</v>
      </c>
      <c r="V33" s="249">
        <v>5.8</v>
      </c>
      <c r="W33" s="249">
        <v>0.86929999999999996</v>
      </c>
      <c r="X33" s="249">
        <v>10363.01</v>
      </c>
      <c r="Y33" s="249">
        <v>22284.560000000001</v>
      </c>
    </row>
    <row r="34" spans="1:25" ht="12" customHeight="1">
      <c r="A34" s="248" t="s">
        <v>623</v>
      </c>
      <c r="B34" s="248" t="s">
        <v>624</v>
      </c>
      <c r="C34" s="248" t="s">
        <v>573</v>
      </c>
      <c r="D34" s="249">
        <v>9350</v>
      </c>
      <c r="E34" s="249">
        <v>0.79610000000000003</v>
      </c>
      <c r="F34" s="249">
        <v>7443.54</v>
      </c>
      <c r="G34" s="249">
        <v>5.7500000000000002E-2</v>
      </c>
      <c r="H34" s="249">
        <v>537.62</v>
      </c>
      <c r="I34" s="249">
        <v>3.3999999999999998E-3</v>
      </c>
      <c r="J34" s="249">
        <v>32.08</v>
      </c>
      <c r="K34" s="249">
        <v>0</v>
      </c>
      <c r="L34" s="249">
        <v>0</v>
      </c>
      <c r="M34" s="249">
        <v>0</v>
      </c>
      <c r="N34" s="249">
        <v>0</v>
      </c>
      <c r="O34" s="249">
        <v>2.9999999999999997E-4</v>
      </c>
      <c r="P34" s="249">
        <v>2.39</v>
      </c>
      <c r="Q34" s="249">
        <v>0</v>
      </c>
      <c r="R34" s="249">
        <v>0</v>
      </c>
      <c r="S34" s="249">
        <v>2.98E-2</v>
      </c>
      <c r="T34" s="249">
        <v>278.94</v>
      </c>
      <c r="U34" s="249">
        <v>5.9999999999999995E-4</v>
      </c>
      <c r="V34" s="249">
        <v>5.8</v>
      </c>
      <c r="W34" s="249">
        <v>0.88770000000000004</v>
      </c>
      <c r="X34" s="249">
        <v>8300.36</v>
      </c>
      <c r="Y34" s="249">
        <v>17650.36</v>
      </c>
    </row>
    <row r="35" spans="1:25" ht="10.95" customHeight="1">
      <c r="A35" s="583" t="s">
        <v>158</v>
      </c>
      <c r="B35" s="583" t="s">
        <v>159</v>
      </c>
      <c r="C35" s="583" t="s">
        <v>160</v>
      </c>
      <c r="D35" s="583" t="s">
        <v>161</v>
      </c>
      <c r="E35" s="583" t="s">
        <v>162</v>
      </c>
      <c r="F35" s="583" t="s">
        <v>163</v>
      </c>
      <c r="G35" s="580" t="s">
        <v>164</v>
      </c>
      <c r="H35" s="581"/>
      <c r="I35" s="581"/>
      <c r="J35" s="581"/>
      <c r="K35" s="581"/>
      <c r="L35" s="581"/>
      <c r="M35" s="581"/>
      <c r="N35" s="581"/>
      <c r="O35" s="581"/>
      <c r="P35" s="582"/>
      <c r="Q35" s="580" t="s">
        <v>165</v>
      </c>
      <c r="R35" s="581"/>
      <c r="S35" s="581"/>
      <c r="T35" s="581"/>
      <c r="U35" s="581"/>
      <c r="V35" s="582"/>
      <c r="W35" s="574" t="s">
        <v>166</v>
      </c>
      <c r="X35" s="575"/>
      <c r="Y35" s="583" t="s">
        <v>167</v>
      </c>
    </row>
    <row r="36" spans="1:25" ht="19.95" customHeight="1">
      <c r="A36" s="584"/>
      <c r="B36" s="584"/>
      <c r="C36" s="584"/>
      <c r="D36" s="584"/>
      <c r="E36" s="584"/>
      <c r="F36" s="584"/>
      <c r="G36" s="578" t="s">
        <v>168</v>
      </c>
      <c r="H36" s="579"/>
      <c r="I36" s="578" t="s">
        <v>169</v>
      </c>
      <c r="J36" s="579"/>
      <c r="K36" s="578" t="s">
        <v>170</v>
      </c>
      <c r="L36" s="579"/>
      <c r="M36" s="578" t="s">
        <v>171</v>
      </c>
      <c r="N36" s="579"/>
      <c r="O36" s="578" t="s">
        <v>172</v>
      </c>
      <c r="P36" s="579"/>
      <c r="Q36" s="578" t="s">
        <v>173</v>
      </c>
      <c r="R36" s="579"/>
      <c r="S36" s="578" t="s">
        <v>174</v>
      </c>
      <c r="T36" s="579"/>
      <c r="U36" s="578" t="s">
        <v>175</v>
      </c>
      <c r="V36" s="579"/>
      <c r="W36" s="576"/>
      <c r="X36" s="577"/>
      <c r="Y36" s="585"/>
    </row>
    <row r="37" spans="1:25" ht="13.05" customHeight="1">
      <c r="A37" s="585"/>
      <c r="B37" s="585"/>
      <c r="C37" s="585"/>
      <c r="D37" s="585"/>
      <c r="E37" s="585"/>
      <c r="F37" s="585"/>
      <c r="G37" s="393" t="s">
        <v>176</v>
      </c>
      <c r="H37" s="393" t="s">
        <v>177</v>
      </c>
      <c r="I37" s="393" t="s">
        <v>176</v>
      </c>
      <c r="J37" s="393" t="s">
        <v>177</v>
      </c>
      <c r="K37" s="393" t="s">
        <v>176</v>
      </c>
      <c r="L37" s="393" t="s">
        <v>177</v>
      </c>
      <c r="M37" s="393" t="s">
        <v>176</v>
      </c>
      <c r="N37" s="393" t="s">
        <v>177</v>
      </c>
      <c r="O37" s="393" t="s">
        <v>176</v>
      </c>
      <c r="P37" s="393" t="s">
        <v>177</v>
      </c>
      <c r="Q37" s="393" t="s">
        <v>176</v>
      </c>
      <c r="R37" s="393" t="s">
        <v>177</v>
      </c>
      <c r="S37" s="393" t="s">
        <v>176</v>
      </c>
      <c r="T37" s="393" t="s">
        <v>177</v>
      </c>
      <c r="U37" s="393" t="s">
        <v>176</v>
      </c>
      <c r="V37" s="393" t="s">
        <v>177</v>
      </c>
      <c r="W37" s="393" t="s">
        <v>176</v>
      </c>
      <c r="X37" s="393" t="s">
        <v>177</v>
      </c>
      <c r="Y37" s="393" t="s">
        <v>177</v>
      </c>
    </row>
    <row r="38" spans="1:25" ht="12" customHeight="1">
      <c r="A38" s="248" t="s">
        <v>625</v>
      </c>
      <c r="B38" s="248" t="s">
        <v>626</v>
      </c>
      <c r="C38" s="248" t="s">
        <v>573</v>
      </c>
      <c r="D38" s="249">
        <v>9795.19</v>
      </c>
      <c r="E38" s="249">
        <v>0.79610000000000003</v>
      </c>
      <c r="F38" s="249">
        <v>7797.95</v>
      </c>
      <c r="G38" s="249">
        <v>5.4899999999999997E-2</v>
      </c>
      <c r="H38" s="249">
        <v>537.62</v>
      </c>
      <c r="I38" s="249">
        <v>3.3E-3</v>
      </c>
      <c r="J38" s="249">
        <v>32.08</v>
      </c>
      <c r="K38" s="249">
        <v>0</v>
      </c>
      <c r="L38" s="249">
        <v>0</v>
      </c>
      <c r="M38" s="249">
        <v>0</v>
      </c>
      <c r="N38" s="249">
        <v>0</v>
      </c>
      <c r="O38" s="249">
        <v>2.0000000000000001E-4</v>
      </c>
      <c r="P38" s="249">
        <v>2.39</v>
      </c>
      <c r="Q38" s="249">
        <v>0</v>
      </c>
      <c r="R38" s="249">
        <v>0</v>
      </c>
      <c r="S38" s="249">
        <v>2.8500000000000001E-2</v>
      </c>
      <c r="T38" s="249">
        <v>278.94</v>
      </c>
      <c r="U38" s="249">
        <v>5.9999999999999995E-4</v>
      </c>
      <c r="V38" s="249">
        <v>5.8</v>
      </c>
      <c r="W38" s="249">
        <v>0.88360000000000005</v>
      </c>
      <c r="X38" s="249">
        <v>8654.7800000000007</v>
      </c>
      <c r="Y38" s="249">
        <v>18449.96</v>
      </c>
    </row>
    <row r="39" spans="1:25" ht="12" customHeight="1">
      <c r="A39" s="248" t="s">
        <v>627</v>
      </c>
      <c r="B39" s="248" t="s">
        <v>628</v>
      </c>
      <c r="C39" s="248" t="s">
        <v>573</v>
      </c>
      <c r="D39" s="249">
        <v>12147.02</v>
      </c>
      <c r="E39" s="249">
        <v>0.79610000000000003</v>
      </c>
      <c r="F39" s="249">
        <v>9670.24</v>
      </c>
      <c r="G39" s="249">
        <v>4.4299999999999999E-2</v>
      </c>
      <c r="H39" s="249">
        <v>537.62</v>
      </c>
      <c r="I39" s="249">
        <v>2.5999999999999999E-3</v>
      </c>
      <c r="J39" s="249">
        <v>32.08</v>
      </c>
      <c r="K39" s="249">
        <v>0</v>
      </c>
      <c r="L39" s="249">
        <v>0</v>
      </c>
      <c r="M39" s="249">
        <v>0</v>
      </c>
      <c r="N39" s="249">
        <v>0</v>
      </c>
      <c r="O39" s="249">
        <v>2.0000000000000001E-4</v>
      </c>
      <c r="P39" s="249">
        <v>2.39</v>
      </c>
      <c r="Q39" s="249">
        <v>0</v>
      </c>
      <c r="R39" s="249">
        <v>0</v>
      </c>
      <c r="S39" s="249">
        <v>2.3E-2</v>
      </c>
      <c r="T39" s="249">
        <v>278.94</v>
      </c>
      <c r="U39" s="249">
        <v>5.0000000000000001E-4</v>
      </c>
      <c r="V39" s="249">
        <v>5.8</v>
      </c>
      <c r="W39" s="249">
        <v>0.86660000000000004</v>
      </c>
      <c r="X39" s="249">
        <v>10527.07</v>
      </c>
      <c r="Y39" s="249">
        <v>22674.09</v>
      </c>
    </row>
    <row r="40" spans="1:25" ht="12" customHeight="1">
      <c r="A40" s="248" t="s">
        <v>629</v>
      </c>
      <c r="B40" s="248" t="s">
        <v>630</v>
      </c>
      <c r="C40" s="248" t="s">
        <v>573</v>
      </c>
      <c r="D40" s="249">
        <v>9350</v>
      </c>
      <c r="E40" s="249">
        <v>0.79679999999999995</v>
      </c>
      <c r="F40" s="249">
        <v>7450.08</v>
      </c>
      <c r="G40" s="249">
        <v>5.7500000000000002E-2</v>
      </c>
      <c r="H40" s="249">
        <v>537.62</v>
      </c>
      <c r="I40" s="249">
        <v>3.3999999999999998E-3</v>
      </c>
      <c r="J40" s="249">
        <v>32.08</v>
      </c>
      <c r="K40" s="249">
        <v>0</v>
      </c>
      <c r="L40" s="249">
        <v>0</v>
      </c>
      <c r="M40" s="249">
        <v>0</v>
      </c>
      <c r="N40" s="249">
        <v>0</v>
      </c>
      <c r="O40" s="249">
        <v>2.9999999999999997E-4</v>
      </c>
      <c r="P40" s="249">
        <v>3.21</v>
      </c>
      <c r="Q40" s="249">
        <v>0</v>
      </c>
      <c r="R40" s="249">
        <v>0</v>
      </c>
      <c r="S40" s="249">
        <v>2.98E-2</v>
      </c>
      <c r="T40" s="249">
        <v>278.94</v>
      </c>
      <c r="U40" s="249">
        <v>5.9999999999999995E-4</v>
      </c>
      <c r="V40" s="249">
        <v>5.8</v>
      </c>
      <c r="W40" s="249">
        <v>0.88849999999999996</v>
      </c>
      <c r="X40" s="249">
        <v>8307.73</v>
      </c>
      <c r="Y40" s="249">
        <v>17657.73</v>
      </c>
    </row>
    <row r="41" spans="1:25" ht="12" customHeight="1">
      <c r="A41" s="248" t="s">
        <v>631</v>
      </c>
      <c r="B41" s="248" t="s">
        <v>632</v>
      </c>
      <c r="C41" s="248" t="s">
        <v>573</v>
      </c>
      <c r="D41" s="249">
        <v>10052.200000000001</v>
      </c>
      <c r="E41" s="249">
        <v>0.79679999999999995</v>
      </c>
      <c r="F41" s="249">
        <v>8009.59</v>
      </c>
      <c r="G41" s="249">
        <v>5.3499999999999999E-2</v>
      </c>
      <c r="H41" s="249">
        <v>537.62</v>
      </c>
      <c r="I41" s="249">
        <v>3.2000000000000002E-3</v>
      </c>
      <c r="J41" s="249">
        <v>32.08</v>
      </c>
      <c r="K41" s="249">
        <v>0</v>
      </c>
      <c r="L41" s="249">
        <v>0</v>
      </c>
      <c r="M41" s="249">
        <v>0</v>
      </c>
      <c r="N41" s="249">
        <v>0</v>
      </c>
      <c r="O41" s="249">
        <v>2.9999999999999997E-4</v>
      </c>
      <c r="P41" s="249">
        <v>3.21</v>
      </c>
      <c r="Q41" s="249">
        <v>0</v>
      </c>
      <c r="R41" s="249">
        <v>0</v>
      </c>
      <c r="S41" s="249">
        <v>2.7699999999999999E-2</v>
      </c>
      <c r="T41" s="249">
        <v>278.94</v>
      </c>
      <c r="U41" s="249">
        <v>5.9999999999999995E-4</v>
      </c>
      <c r="V41" s="249">
        <v>5.8</v>
      </c>
      <c r="W41" s="249">
        <v>0.8821</v>
      </c>
      <c r="X41" s="249">
        <v>8867.25</v>
      </c>
      <c r="Y41" s="249">
        <v>18919.45</v>
      </c>
    </row>
    <row r="42" spans="1:25" ht="12" customHeight="1">
      <c r="A42" s="248" t="s">
        <v>633</v>
      </c>
      <c r="B42" s="248" t="s">
        <v>634</v>
      </c>
      <c r="C42" s="248" t="s">
        <v>573</v>
      </c>
      <c r="D42" s="249">
        <v>12571.56</v>
      </c>
      <c r="E42" s="249">
        <v>0.79679999999999995</v>
      </c>
      <c r="F42" s="249">
        <v>10017.02</v>
      </c>
      <c r="G42" s="249">
        <v>4.2799999999999998E-2</v>
      </c>
      <c r="H42" s="249">
        <v>537.62</v>
      </c>
      <c r="I42" s="249">
        <v>2.5999999999999999E-3</v>
      </c>
      <c r="J42" s="249">
        <v>32.08</v>
      </c>
      <c r="K42" s="249">
        <v>0</v>
      </c>
      <c r="L42" s="249">
        <v>0</v>
      </c>
      <c r="M42" s="249">
        <v>0</v>
      </c>
      <c r="N42" s="249">
        <v>0</v>
      </c>
      <c r="O42" s="249">
        <v>2.9999999999999997E-4</v>
      </c>
      <c r="P42" s="249">
        <v>3.21</v>
      </c>
      <c r="Q42" s="249">
        <v>0</v>
      </c>
      <c r="R42" s="249">
        <v>0</v>
      </c>
      <c r="S42" s="249">
        <v>2.2200000000000001E-2</v>
      </c>
      <c r="T42" s="249">
        <v>278.94</v>
      </c>
      <c r="U42" s="249">
        <v>5.0000000000000001E-4</v>
      </c>
      <c r="V42" s="249">
        <v>5.8</v>
      </c>
      <c r="W42" s="249">
        <v>0.86499999999999999</v>
      </c>
      <c r="X42" s="249">
        <v>10874.67</v>
      </c>
      <c r="Y42" s="249">
        <v>23446.23</v>
      </c>
    </row>
    <row r="43" spans="1:25" ht="12" customHeight="1">
      <c r="A43" s="248" t="s">
        <v>635</v>
      </c>
      <c r="B43" s="248" t="s">
        <v>636</v>
      </c>
      <c r="C43" s="248" t="s">
        <v>573</v>
      </c>
      <c r="D43" s="249">
        <v>9350</v>
      </c>
      <c r="E43" s="249">
        <v>0.79969999999999997</v>
      </c>
      <c r="F43" s="249">
        <v>7477.2</v>
      </c>
      <c r="G43" s="249">
        <v>5.7500000000000002E-2</v>
      </c>
      <c r="H43" s="249">
        <v>537.62</v>
      </c>
      <c r="I43" s="249">
        <v>3.3999999999999998E-3</v>
      </c>
      <c r="J43" s="249">
        <v>32.08</v>
      </c>
      <c r="K43" s="249">
        <v>0</v>
      </c>
      <c r="L43" s="249">
        <v>0</v>
      </c>
      <c r="M43" s="249">
        <v>0</v>
      </c>
      <c r="N43" s="249">
        <v>0</v>
      </c>
      <c r="O43" s="249">
        <v>2.9999999999999997E-4</v>
      </c>
      <c r="P43" s="249">
        <v>2.64</v>
      </c>
      <c r="Q43" s="249">
        <v>0</v>
      </c>
      <c r="R43" s="249">
        <v>0</v>
      </c>
      <c r="S43" s="249">
        <v>2.98E-2</v>
      </c>
      <c r="T43" s="249">
        <v>278.94</v>
      </c>
      <c r="U43" s="249">
        <v>5.9999999999999995E-4</v>
      </c>
      <c r="V43" s="249">
        <v>5.8</v>
      </c>
      <c r="W43" s="249">
        <v>0.89139999999999997</v>
      </c>
      <c r="X43" s="249">
        <v>8334.27</v>
      </c>
      <c r="Y43" s="249">
        <v>17684.27</v>
      </c>
    </row>
    <row r="44" spans="1:25" ht="12" customHeight="1">
      <c r="A44" s="248" t="s">
        <v>637</v>
      </c>
      <c r="B44" s="248" t="s">
        <v>638</v>
      </c>
      <c r="C44" s="248" t="s">
        <v>573</v>
      </c>
      <c r="D44" s="249">
        <v>10517.58</v>
      </c>
      <c r="E44" s="249">
        <v>0.79969999999999997</v>
      </c>
      <c r="F44" s="249">
        <v>8410.91</v>
      </c>
      <c r="G44" s="249">
        <v>5.11E-2</v>
      </c>
      <c r="H44" s="249">
        <v>537.62</v>
      </c>
      <c r="I44" s="249">
        <v>3.0000000000000001E-3</v>
      </c>
      <c r="J44" s="249">
        <v>32.08</v>
      </c>
      <c r="K44" s="249">
        <v>0</v>
      </c>
      <c r="L44" s="249">
        <v>0</v>
      </c>
      <c r="M44" s="249">
        <v>0</v>
      </c>
      <c r="N44" s="249">
        <v>0</v>
      </c>
      <c r="O44" s="249">
        <v>2.9999999999999997E-4</v>
      </c>
      <c r="P44" s="249">
        <v>2.64</v>
      </c>
      <c r="Q44" s="249">
        <v>0</v>
      </c>
      <c r="R44" s="249">
        <v>0</v>
      </c>
      <c r="S44" s="249">
        <v>2.6499999999999999E-2</v>
      </c>
      <c r="T44" s="249">
        <v>278.94</v>
      </c>
      <c r="U44" s="249">
        <v>5.9999999999999995E-4</v>
      </c>
      <c r="V44" s="249">
        <v>5.8</v>
      </c>
      <c r="W44" s="249">
        <v>0.88119999999999998</v>
      </c>
      <c r="X44" s="249">
        <v>9267.99</v>
      </c>
      <c r="Y44" s="249">
        <v>19785.57</v>
      </c>
    </row>
    <row r="45" spans="1:25" ht="12" customHeight="1">
      <c r="A45" s="248" t="s">
        <v>639</v>
      </c>
      <c r="B45" s="248" t="s">
        <v>640</v>
      </c>
      <c r="C45" s="248" t="s">
        <v>573</v>
      </c>
      <c r="D45" s="249">
        <v>13460.18</v>
      </c>
      <c r="E45" s="249">
        <v>0.79969999999999997</v>
      </c>
      <c r="F45" s="249">
        <v>10764.11</v>
      </c>
      <c r="G45" s="249">
        <v>3.9899999999999998E-2</v>
      </c>
      <c r="H45" s="249">
        <v>537.62</v>
      </c>
      <c r="I45" s="249">
        <v>2.3999999999999998E-3</v>
      </c>
      <c r="J45" s="249">
        <v>32.08</v>
      </c>
      <c r="K45" s="249">
        <v>0</v>
      </c>
      <c r="L45" s="249">
        <v>0</v>
      </c>
      <c r="M45" s="249">
        <v>0</v>
      </c>
      <c r="N45" s="249">
        <v>0</v>
      </c>
      <c r="O45" s="249">
        <v>2.0000000000000001E-4</v>
      </c>
      <c r="P45" s="249">
        <v>2.64</v>
      </c>
      <c r="Q45" s="249">
        <v>0</v>
      </c>
      <c r="R45" s="249">
        <v>0</v>
      </c>
      <c r="S45" s="249">
        <v>2.07E-2</v>
      </c>
      <c r="T45" s="249">
        <v>278.94</v>
      </c>
      <c r="U45" s="249">
        <v>4.0000000000000002E-4</v>
      </c>
      <c r="V45" s="249">
        <v>5.8</v>
      </c>
      <c r="W45" s="249">
        <v>0.86339999999999995</v>
      </c>
      <c r="X45" s="249">
        <v>11621.18</v>
      </c>
      <c r="Y45" s="249">
        <v>25081.360000000001</v>
      </c>
    </row>
    <row r="46" spans="1:25" ht="12" customHeight="1">
      <c r="A46" s="251" t="s">
        <v>641</v>
      </c>
      <c r="B46" s="251" t="s">
        <v>642</v>
      </c>
      <c r="C46" s="248" t="s">
        <v>573</v>
      </c>
      <c r="D46" s="249">
        <v>19915.78</v>
      </c>
      <c r="E46" s="249">
        <v>0.79830000000000001</v>
      </c>
      <c r="F46" s="249">
        <v>15898.77</v>
      </c>
      <c r="G46" s="249">
        <v>2.7E-2</v>
      </c>
      <c r="H46" s="249">
        <v>537.62</v>
      </c>
      <c r="I46" s="249">
        <v>1.5E-3</v>
      </c>
      <c r="J46" s="249">
        <v>29.3</v>
      </c>
      <c r="K46" s="249">
        <v>0</v>
      </c>
      <c r="L46" s="249">
        <v>0</v>
      </c>
      <c r="M46" s="249">
        <v>0</v>
      </c>
      <c r="N46" s="249">
        <v>0</v>
      </c>
      <c r="O46" s="249">
        <v>1E-4</v>
      </c>
      <c r="P46" s="249">
        <v>2.77</v>
      </c>
      <c r="Q46" s="249">
        <v>0</v>
      </c>
      <c r="R46" s="249">
        <v>0</v>
      </c>
      <c r="S46" s="249">
        <v>1.4E-2</v>
      </c>
      <c r="T46" s="249">
        <v>278.94</v>
      </c>
      <c r="U46" s="249">
        <v>2.9999999999999997E-4</v>
      </c>
      <c r="V46" s="249">
        <v>5.8</v>
      </c>
      <c r="W46" s="249">
        <v>0.84119999999999995</v>
      </c>
      <c r="X46" s="249">
        <v>16753.2</v>
      </c>
      <c r="Y46" s="249">
        <v>36668.97</v>
      </c>
    </row>
    <row r="47" spans="1:25" ht="12" customHeight="1">
      <c r="A47" s="251" t="s">
        <v>643</v>
      </c>
      <c r="B47" s="251" t="s">
        <v>644</v>
      </c>
      <c r="C47" s="248" t="s">
        <v>573</v>
      </c>
      <c r="D47" s="249">
        <v>16596.48</v>
      </c>
      <c r="E47" s="249">
        <v>0.79830000000000001</v>
      </c>
      <c r="F47" s="249">
        <v>13248.97</v>
      </c>
      <c r="G47" s="249">
        <v>3.2399999999999998E-2</v>
      </c>
      <c r="H47" s="249">
        <v>537.62</v>
      </c>
      <c r="I47" s="249">
        <v>1.8E-3</v>
      </c>
      <c r="J47" s="249">
        <v>29.3</v>
      </c>
      <c r="K47" s="249">
        <v>0</v>
      </c>
      <c r="L47" s="249">
        <v>0</v>
      </c>
      <c r="M47" s="249">
        <v>0</v>
      </c>
      <c r="N47" s="249">
        <v>0</v>
      </c>
      <c r="O47" s="249">
        <v>2.0000000000000001E-4</v>
      </c>
      <c r="P47" s="249">
        <v>2.77</v>
      </c>
      <c r="Q47" s="249">
        <v>0</v>
      </c>
      <c r="R47" s="249">
        <v>0</v>
      </c>
      <c r="S47" s="249">
        <v>1.6799999999999999E-2</v>
      </c>
      <c r="T47" s="249">
        <v>278.94</v>
      </c>
      <c r="U47" s="249">
        <v>2.9999999999999997E-4</v>
      </c>
      <c r="V47" s="249">
        <v>5.8</v>
      </c>
      <c r="W47" s="249">
        <v>0.8498</v>
      </c>
      <c r="X47" s="249">
        <v>14103.4</v>
      </c>
      <c r="Y47" s="249">
        <v>30699.88</v>
      </c>
    </row>
    <row r="48" spans="1:25" ht="12" customHeight="1">
      <c r="A48" s="248" t="s">
        <v>645</v>
      </c>
      <c r="B48" s="248" t="s">
        <v>646</v>
      </c>
      <c r="C48" s="248" t="s">
        <v>573</v>
      </c>
      <c r="D48" s="249">
        <v>9350</v>
      </c>
      <c r="E48" s="249">
        <v>0.80300000000000005</v>
      </c>
      <c r="F48" s="249">
        <v>7508.05</v>
      </c>
      <c r="G48" s="249">
        <v>5.7500000000000002E-2</v>
      </c>
      <c r="H48" s="249">
        <v>537.62</v>
      </c>
      <c r="I48" s="249">
        <v>3.3999999999999998E-3</v>
      </c>
      <c r="J48" s="249">
        <v>32.08</v>
      </c>
      <c r="K48" s="249">
        <v>0</v>
      </c>
      <c r="L48" s="249">
        <v>0</v>
      </c>
      <c r="M48" s="249">
        <v>0</v>
      </c>
      <c r="N48" s="249">
        <v>0</v>
      </c>
      <c r="O48" s="249">
        <v>5.0000000000000001E-4</v>
      </c>
      <c r="P48" s="249">
        <v>4.41</v>
      </c>
      <c r="Q48" s="249">
        <v>0</v>
      </c>
      <c r="R48" s="249">
        <v>0</v>
      </c>
      <c r="S48" s="249">
        <v>2.98E-2</v>
      </c>
      <c r="T48" s="249">
        <v>278.94</v>
      </c>
      <c r="U48" s="249">
        <v>5.9999999999999995E-4</v>
      </c>
      <c r="V48" s="249">
        <v>5.8</v>
      </c>
      <c r="W48" s="249">
        <v>0.89490000000000003</v>
      </c>
      <c r="X48" s="249">
        <v>8366.9</v>
      </c>
      <c r="Y48" s="249">
        <v>17716.900000000001</v>
      </c>
    </row>
    <row r="49" spans="1:25" ht="12" customHeight="1">
      <c r="A49" s="248" t="s">
        <v>647</v>
      </c>
      <c r="B49" s="248" t="s">
        <v>648</v>
      </c>
      <c r="C49" s="248" t="s">
        <v>573</v>
      </c>
      <c r="D49" s="249">
        <v>9862.5300000000007</v>
      </c>
      <c r="E49" s="249">
        <v>0.80300000000000005</v>
      </c>
      <c r="F49" s="249">
        <v>7919.61</v>
      </c>
      <c r="G49" s="249">
        <v>5.45E-2</v>
      </c>
      <c r="H49" s="249">
        <v>537.62</v>
      </c>
      <c r="I49" s="249">
        <v>3.3E-3</v>
      </c>
      <c r="J49" s="249">
        <v>32.08</v>
      </c>
      <c r="K49" s="249">
        <v>0</v>
      </c>
      <c r="L49" s="249">
        <v>0</v>
      </c>
      <c r="M49" s="249">
        <v>0</v>
      </c>
      <c r="N49" s="249">
        <v>0</v>
      </c>
      <c r="O49" s="249">
        <v>4.0000000000000002E-4</v>
      </c>
      <c r="P49" s="249">
        <v>4.41</v>
      </c>
      <c r="Q49" s="249">
        <v>0</v>
      </c>
      <c r="R49" s="249">
        <v>0</v>
      </c>
      <c r="S49" s="249">
        <v>2.8299999999999999E-2</v>
      </c>
      <c r="T49" s="249">
        <v>278.94</v>
      </c>
      <c r="U49" s="249">
        <v>5.9999999999999995E-4</v>
      </c>
      <c r="V49" s="249">
        <v>5.8</v>
      </c>
      <c r="W49" s="249">
        <v>0.8901</v>
      </c>
      <c r="X49" s="249">
        <v>8778.4599999999991</v>
      </c>
      <c r="Y49" s="249">
        <v>18640.990000000002</v>
      </c>
    </row>
    <row r="50" spans="1:25" ht="12" customHeight="1">
      <c r="A50" s="248" t="s">
        <v>649</v>
      </c>
      <c r="B50" s="248" t="s">
        <v>650</v>
      </c>
      <c r="C50" s="248" t="s">
        <v>573</v>
      </c>
      <c r="D50" s="249">
        <v>11927.29</v>
      </c>
      <c r="E50" s="249">
        <v>0.80300000000000005</v>
      </c>
      <c r="F50" s="249">
        <v>9577.61</v>
      </c>
      <c r="G50" s="249">
        <v>4.5100000000000001E-2</v>
      </c>
      <c r="H50" s="249">
        <v>537.62</v>
      </c>
      <c r="I50" s="249">
        <v>2.7000000000000001E-3</v>
      </c>
      <c r="J50" s="249">
        <v>32.08</v>
      </c>
      <c r="K50" s="249">
        <v>0</v>
      </c>
      <c r="L50" s="249">
        <v>0</v>
      </c>
      <c r="M50" s="249">
        <v>0</v>
      </c>
      <c r="N50" s="249">
        <v>0</v>
      </c>
      <c r="O50" s="249">
        <v>4.0000000000000002E-4</v>
      </c>
      <c r="P50" s="249">
        <v>4.41</v>
      </c>
      <c r="Q50" s="249">
        <v>0</v>
      </c>
      <c r="R50" s="249">
        <v>0</v>
      </c>
      <c r="S50" s="249">
        <v>2.3400000000000001E-2</v>
      </c>
      <c r="T50" s="249">
        <v>278.94</v>
      </c>
      <c r="U50" s="249">
        <v>5.0000000000000001E-4</v>
      </c>
      <c r="V50" s="249">
        <v>5.8</v>
      </c>
      <c r="W50" s="249">
        <v>0.875</v>
      </c>
      <c r="X50" s="249">
        <v>10436.469999999999</v>
      </c>
      <c r="Y50" s="249">
        <v>22363.759999999998</v>
      </c>
    </row>
    <row r="51" spans="1:25" ht="12" customHeight="1">
      <c r="A51" s="251" t="s">
        <v>651</v>
      </c>
      <c r="B51" s="251" t="s">
        <v>652</v>
      </c>
      <c r="C51" s="248" t="s">
        <v>573</v>
      </c>
      <c r="D51" s="249">
        <v>9350</v>
      </c>
      <c r="E51" s="249">
        <v>0.79830000000000001</v>
      </c>
      <c r="F51" s="249">
        <v>7464.11</v>
      </c>
      <c r="G51" s="249">
        <v>5.7500000000000002E-2</v>
      </c>
      <c r="H51" s="249">
        <v>537.62</v>
      </c>
      <c r="I51" s="249">
        <v>3.3999999999999998E-3</v>
      </c>
      <c r="J51" s="249">
        <v>32.08</v>
      </c>
      <c r="K51" s="249">
        <v>0</v>
      </c>
      <c r="L51" s="249">
        <v>0</v>
      </c>
      <c r="M51" s="249">
        <v>0</v>
      </c>
      <c r="N51" s="249">
        <v>0</v>
      </c>
      <c r="O51" s="249">
        <v>2.9999999999999997E-4</v>
      </c>
      <c r="P51" s="249">
        <v>2.77</v>
      </c>
      <c r="Q51" s="249">
        <v>0</v>
      </c>
      <c r="R51" s="249">
        <v>0</v>
      </c>
      <c r="S51" s="249">
        <v>2.98E-2</v>
      </c>
      <c r="T51" s="249">
        <v>278.94</v>
      </c>
      <c r="U51" s="249">
        <v>5.9999999999999995E-4</v>
      </c>
      <c r="V51" s="249">
        <v>5.8</v>
      </c>
      <c r="W51" s="249">
        <v>0.89</v>
      </c>
      <c r="X51" s="249">
        <v>8321.32</v>
      </c>
      <c r="Y51" s="249">
        <v>17671.32</v>
      </c>
    </row>
    <row r="52" spans="1:25" ht="12" customHeight="1">
      <c r="A52" s="251" t="s">
        <v>653</v>
      </c>
      <c r="B52" s="251" t="s">
        <v>654</v>
      </c>
      <c r="C52" s="248" t="s">
        <v>573</v>
      </c>
      <c r="D52" s="249">
        <v>10528.02</v>
      </c>
      <c r="E52" s="249">
        <v>0.79830000000000001</v>
      </c>
      <c r="F52" s="249">
        <v>8404.52</v>
      </c>
      <c r="G52" s="249">
        <v>5.11E-2</v>
      </c>
      <c r="H52" s="249">
        <v>537.62</v>
      </c>
      <c r="I52" s="249">
        <v>3.0000000000000001E-3</v>
      </c>
      <c r="J52" s="249">
        <v>32.08</v>
      </c>
      <c r="K52" s="249">
        <v>0</v>
      </c>
      <c r="L52" s="249">
        <v>0</v>
      </c>
      <c r="M52" s="249">
        <v>0</v>
      </c>
      <c r="N52" s="249">
        <v>0</v>
      </c>
      <c r="O52" s="249">
        <v>2.9999999999999997E-4</v>
      </c>
      <c r="P52" s="249">
        <v>2.77</v>
      </c>
      <c r="Q52" s="249">
        <v>0</v>
      </c>
      <c r="R52" s="249">
        <v>0</v>
      </c>
      <c r="S52" s="249">
        <v>2.6499999999999999E-2</v>
      </c>
      <c r="T52" s="249">
        <v>278.94</v>
      </c>
      <c r="U52" s="249">
        <v>5.9999999999999995E-4</v>
      </c>
      <c r="V52" s="249">
        <v>5.8</v>
      </c>
      <c r="W52" s="249">
        <v>0.87970000000000004</v>
      </c>
      <c r="X52" s="249">
        <v>9261.73</v>
      </c>
      <c r="Y52" s="249">
        <v>19789.75</v>
      </c>
    </row>
    <row r="53" spans="1:25" ht="12" customHeight="1">
      <c r="A53" s="251" t="s">
        <v>655</v>
      </c>
      <c r="B53" s="251" t="s">
        <v>656</v>
      </c>
      <c r="C53" s="248" t="s">
        <v>573</v>
      </c>
      <c r="D53" s="249">
        <v>13887.45</v>
      </c>
      <c r="E53" s="249">
        <v>0.79830000000000001</v>
      </c>
      <c r="F53" s="249">
        <v>11086.35</v>
      </c>
      <c r="G53" s="249">
        <v>3.8699999999999998E-2</v>
      </c>
      <c r="H53" s="249">
        <v>537.62</v>
      </c>
      <c r="I53" s="249">
        <v>2.3E-3</v>
      </c>
      <c r="J53" s="249">
        <v>32.08</v>
      </c>
      <c r="K53" s="249">
        <v>0</v>
      </c>
      <c r="L53" s="249">
        <v>0</v>
      </c>
      <c r="M53" s="249">
        <v>0</v>
      </c>
      <c r="N53" s="249">
        <v>0</v>
      </c>
      <c r="O53" s="249">
        <v>2.0000000000000001E-4</v>
      </c>
      <c r="P53" s="249">
        <v>2.77</v>
      </c>
      <c r="Q53" s="249">
        <v>0</v>
      </c>
      <c r="R53" s="249">
        <v>0</v>
      </c>
      <c r="S53" s="249">
        <v>2.01E-2</v>
      </c>
      <c r="T53" s="249">
        <v>278.94</v>
      </c>
      <c r="U53" s="249">
        <v>4.0000000000000002E-4</v>
      </c>
      <c r="V53" s="249">
        <v>5.8</v>
      </c>
      <c r="W53" s="249">
        <v>0.86</v>
      </c>
      <c r="X53" s="249">
        <v>11943.57</v>
      </c>
      <c r="Y53" s="249">
        <v>25831.02</v>
      </c>
    </row>
    <row r="54" spans="1:25" ht="12" customHeight="1">
      <c r="A54" s="248" t="s">
        <v>657</v>
      </c>
      <c r="B54" s="248" t="s">
        <v>658</v>
      </c>
      <c r="C54" s="248" t="s">
        <v>573</v>
      </c>
      <c r="D54" s="249">
        <v>9350</v>
      </c>
      <c r="E54" s="249">
        <v>0.80300000000000005</v>
      </c>
      <c r="F54" s="249">
        <v>7508.05</v>
      </c>
      <c r="G54" s="249">
        <v>5.7500000000000002E-2</v>
      </c>
      <c r="H54" s="249">
        <v>537.62</v>
      </c>
      <c r="I54" s="249">
        <v>3.3999999999999998E-3</v>
      </c>
      <c r="J54" s="249">
        <v>32.08</v>
      </c>
      <c r="K54" s="249">
        <v>0</v>
      </c>
      <c r="L54" s="249">
        <v>0</v>
      </c>
      <c r="M54" s="249">
        <v>0</v>
      </c>
      <c r="N54" s="249">
        <v>0</v>
      </c>
      <c r="O54" s="249">
        <v>5.0000000000000001E-4</v>
      </c>
      <c r="P54" s="249">
        <v>4.41</v>
      </c>
      <c r="Q54" s="249">
        <v>0</v>
      </c>
      <c r="R54" s="249">
        <v>0</v>
      </c>
      <c r="S54" s="249">
        <v>2.98E-2</v>
      </c>
      <c r="T54" s="249">
        <v>278.94</v>
      </c>
      <c r="U54" s="249">
        <v>5.9999999999999995E-4</v>
      </c>
      <c r="V54" s="249">
        <v>5.8</v>
      </c>
      <c r="W54" s="249">
        <v>0.89490000000000003</v>
      </c>
      <c r="X54" s="249">
        <v>8366.9</v>
      </c>
      <c r="Y54" s="249">
        <v>17716.900000000001</v>
      </c>
    </row>
    <row r="55" spans="1:25" ht="12" customHeight="1">
      <c r="A55" s="248" t="s">
        <v>659</v>
      </c>
      <c r="B55" s="248" t="s">
        <v>660</v>
      </c>
      <c r="C55" s="248" t="s">
        <v>573</v>
      </c>
      <c r="D55" s="249">
        <v>9862.5300000000007</v>
      </c>
      <c r="E55" s="249">
        <v>0.80300000000000005</v>
      </c>
      <c r="F55" s="249">
        <v>7919.61</v>
      </c>
      <c r="G55" s="249">
        <v>5.45E-2</v>
      </c>
      <c r="H55" s="249">
        <v>537.62</v>
      </c>
      <c r="I55" s="249">
        <v>3.3E-3</v>
      </c>
      <c r="J55" s="249">
        <v>32.08</v>
      </c>
      <c r="K55" s="249">
        <v>0</v>
      </c>
      <c r="L55" s="249">
        <v>0</v>
      </c>
      <c r="M55" s="249">
        <v>0</v>
      </c>
      <c r="N55" s="249">
        <v>0</v>
      </c>
      <c r="O55" s="249">
        <v>4.0000000000000002E-4</v>
      </c>
      <c r="P55" s="249">
        <v>4.41</v>
      </c>
      <c r="Q55" s="249">
        <v>0</v>
      </c>
      <c r="R55" s="249">
        <v>0</v>
      </c>
      <c r="S55" s="249">
        <v>2.8299999999999999E-2</v>
      </c>
      <c r="T55" s="249">
        <v>278.94</v>
      </c>
      <c r="U55" s="249">
        <v>5.9999999999999995E-4</v>
      </c>
      <c r="V55" s="249">
        <v>5.8</v>
      </c>
      <c r="W55" s="249">
        <v>0.8901</v>
      </c>
      <c r="X55" s="249">
        <v>8778.4599999999991</v>
      </c>
      <c r="Y55" s="249">
        <v>18640.990000000002</v>
      </c>
    </row>
    <row r="56" spans="1:25" ht="12" customHeight="1">
      <c r="A56" s="248" t="s">
        <v>661</v>
      </c>
      <c r="B56" s="248" t="s">
        <v>662</v>
      </c>
      <c r="C56" s="248" t="s">
        <v>573</v>
      </c>
      <c r="D56" s="249">
        <v>11927.29</v>
      </c>
      <c r="E56" s="249">
        <v>0.80300000000000005</v>
      </c>
      <c r="F56" s="249">
        <v>9577.61</v>
      </c>
      <c r="G56" s="249">
        <v>4.5100000000000001E-2</v>
      </c>
      <c r="H56" s="249">
        <v>537.62</v>
      </c>
      <c r="I56" s="249">
        <v>2.7000000000000001E-3</v>
      </c>
      <c r="J56" s="249">
        <v>32.08</v>
      </c>
      <c r="K56" s="249">
        <v>0</v>
      </c>
      <c r="L56" s="249">
        <v>0</v>
      </c>
      <c r="M56" s="249">
        <v>0</v>
      </c>
      <c r="N56" s="249">
        <v>0</v>
      </c>
      <c r="O56" s="249">
        <v>4.0000000000000002E-4</v>
      </c>
      <c r="P56" s="249">
        <v>4.41</v>
      </c>
      <c r="Q56" s="249">
        <v>0</v>
      </c>
      <c r="R56" s="249">
        <v>0</v>
      </c>
      <c r="S56" s="249">
        <v>2.3400000000000001E-2</v>
      </c>
      <c r="T56" s="249">
        <v>278.94</v>
      </c>
      <c r="U56" s="249">
        <v>5.0000000000000001E-4</v>
      </c>
      <c r="V56" s="249">
        <v>5.8</v>
      </c>
      <c r="W56" s="249">
        <v>0.875</v>
      </c>
      <c r="X56" s="249">
        <v>10436.469999999999</v>
      </c>
      <c r="Y56" s="249">
        <v>22363.759999999998</v>
      </c>
    </row>
    <row r="57" spans="1:25" ht="12" customHeight="1">
      <c r="A57" s="248" t="s">
        <v>663</v>
      </c>
      <c r="B57" s="248" t="s">
        <v>664</v>
      </c>
      <c r="C57" s="248" t="s">
        <v>573</v>
      </c>
      <c r="D57" s="249">
        <v>9350</v>
      </c>
      <c r="E57" s="249">
        <v>0.80220000000000002</v>
      </c>
      <c r="F57" s="249">
        <v>7500.57</v>
      </c>
      <c r="G57" s="249">
        <v>5.7500000000000002E-2</v>
      </c>
      <c r="H57" s="249">
        <v>537.62</v>
      </c>
      <c r="I57" s="249">
        <v>3.3999999999999998E-3</v>
      </c>
      <c r="J57" s="249">
        <v>32.08</v>
      </c>
      <c r="K57" s="249">
        <v>0</v>
      </c>
      <c r="L57" s="249">
        <v>0</v>
      </c>
      <c r="M57" s="249">
        <v>0</v>
      </c>
      <c r="N57" s="249">
        <v>0</v>
      </c>
      <c r="O57" s="249">
        <v>4.0000000000000002E-4</v>
      </c>
      <c r="P57" s="249">
        <v>3.98</v>
      </c>
      <c r="Q57" s="249">
        <v>0</v>
      </c>
      <c r="R57" s="249">
        <v>0</v>
      </c>
      <c r="S57" s="249">
        <v>2.98E-2</v>
      </c>
      <c r="T57" s="249">
        <v>278.94</v>
      </c>
      <c r="U57" s="249">
        <v>5.9999999999999995E-4</v>
      </c>
      <c r="V57" s="249">
        <v>5.8</v>
      </c>
      <c r="W57" s="249">
        <v>0.89400000000000002</v>
      </c>
      <c r="X57" s="249">
        <v>8358.99</v>
      </c>
      <c r="Y57" s="249">
        <v>17708.990000000002</v>
      </c>
    </row>
    <row r="58" spans="1:25" ht="12" customHeight="1">
      <c r="A58" s="248" t="s">
        <v>665</v>
      </c>
      <c r="B58" s="248" t="s">
        <v>666</v>
      </c>
      <c r="C58" s="248" t="s">
        <v>573</v>
      </c>
      <c r="D58" s="249">
        <v>10695.68</v>
      </c>
      <c r="E58" s="249">
        <v>0.80220000000000002</v>
      </c>
      <c r="F58" s="249">
        <v>8580.07</v>
      </c>
      <c r="G58" s="249">
        <v>5.0299999999999997E-2</v>
      </c>
      <c r="H58" s="249">
        <v>537.62</v>
      </c>
      <c r="I58" s="249">
        <v>3.0000000000000001E-3</v>
      </c>
      <c r="J58" s="249">
        <v>32.08</v>
      </c>
      <c r="K58" s="249">
        <v>0</v>
      </c>
      <c r="L58" s="249">
        <v>0</v>
      </c>
      <c r="M58" s="249">
        <v>0</v>
      </c>
      <c r="N58" s="249">
        <v>0</v>
      </c>
      <c r="O58" s="249">
        <v>4.0000000000000002E-4</v>
      </c>
      <c r="P58" s="249">
        <v>3.98</v>
      </c>
      <c r="Q58" s="249">
        <v>0</v>
      </c>
      <c r="R58" s="249">
        <v>0</v>
      </c>
      <c r="S58" s="249">
        <v>2.6100000000000002E-2</v>
      </c>
      <c r="T58" s="249">
        <v>278.94</v>
      </c>
      <c r="U58" s="249">
        <v>5.0000000000000001E-4</v>
      </c>
      <c r="V58" s="249">
        <v>5.8</v>
      </c>
      <c r="W58" s="249">
        <v>0.88249999999999995</v>
      </c>
      <c r="X58" s="249">
        <v>9438.5</v>
      </c>
      <c r="Y58" s="249">
        <v>20134.18</v>
      </c>
    </row>
    <row r="59" spans="1:25" ht="12" customHeight="1">
      <c r="A59" s="248" t="s">
        <v>667</v>
      </c>
      <c r="B59" s="248" t="s">
        <v>668</v>
      </c>
      <c r="C59" s="248" t="s">
        <v>573</v>
      </c>
      <c r="D59" s="249">
        <v>14383.12</v>
      </c>
      <c r="E59" s="249">
        <v>0.80220000000000002</v>
      </c>
      <c r="F59" s="249">
        <v>11538.14</v>
      </c>
      <c r="G59" s="249">
        <v>3.7400000000000003E-2</v>
      </c>
      <c r="H59" s="249">
        <v>537.62</v>
      </c>
      <c r="I59" s="249">
        <v>2.2000000000000001E-3</v>
      </c>
      <c r="J59" s="249">
        <v>32.08</v>
      </c>
      <c r="K59" s="249">
        <v>0</v>
      </c>
      <c r="L59" s="249">
        <v>0</v>
      </c>
      <c r="M59" s="249">
        <v>0</v>
      </c>
      <c r="N59" s="249">
        <v>0</v>
      </c>
      <c r="O59" s="249">
        <v>2.9999999999999997E-4</v>
      </c>
      <c r="P59" s="249">
        <v>3.98</v>
      </c>
      <c r="Q59" s="249">
        <v>0</v>
      </c>
      <c r="R59" s="249">
        <v>0</v>
      </c>
      <c r="S59" s="249">
        <v>1.9400000000000001E-2</v>
      </c>
      <c r="T59" s="249">
        <v>278.94</v>
      </c>
      <c r="U59" s="249">
        <v>4.0000000000000002E-4</v>
      </c>
      <c r="V59" s="249">
        <v>5.8</v>
      </c>
      <c r="W59" s="249">
        <v>0.8619</v>
      </c>
      <c r="X59" s="249">
        <v>12396.56</v>
      </c>
      <c r="Y59" s="249">
        <v>26779.68</v>
      </c>
    </row>
    <row r="60" spans="1:25" ht="12" customHeight="1">
      <c r="A60" s="248" t="s">
        <v>669</v>
      </c>
      <c r="B60" s="248" t="s">
        <v>670</v>
      </c>
      <c r="C60" s="248" t="s">
        <v>573</v>
      </c>
      <c r="D60" s="249">
        <v>2362.8200000000002</v>
      </c>
      <c r="E60" s="249">
        <v>0.79910000000000003</v>
      </c>
      <c r="F60" s="249">
        <v>1888.13</v>
      </c>
      <c r="G60" s="249">
        <v>0.22750000000000001</v>
      </c>
      <c r="H60" s="249">
        <v>537.62</v>
      </c>
      <c r="I60" s="249">
        <v>1.3599999999999999E-2</v>
      </c>
      <c r="J60" s="249">
        <v>32.08</v>
      </c>
      <c r="K60" s="249">
        <v>0</v>
      </c>
      <c r="L60" s="249">
        <v>0</v>
      </c>
      <c r="M60" s="249">
        <v>3.27E-2</v>
      </c>
      <c r="N60" s="249">
        <v>77.260000000000005</v>
      </c>
      <c r="O60" s="249">
        <v>1.2999999999999999E-3</v>
      </c>
      <c r="P60" s="249">
        <v>3.01</v>
      </c>
      <c r="Q60" s="249">
        <v>0</v>
      </c>
      <c r="R60" s="249">
        <v>0</v>
      </c>
      <c r="S60" s="249">
        <v>0.1181</v>
      </c>
      <c r="T60" s="249">
        <v>278.94</v>
      </c>
      <c r="U60" s="249">
        <v>2.5000000000000001E-3</v>
      </c>
      <c r="V60" s="249">
        <v>5.8</v>
      </c>
      <c r="W60" s="249">
        <v>1.1947000000000001</v>
      </c>
      <c r="X60" s="249">
        <v>2822.84</v>
      </c>
      <c r="Y60" s="249">
        <v>5185.66</v>
      </c>
    </row>
    <row r="61" spans="1:25" ht="12" customHeight="1">
      <c r="A61" s="248" t="s">
        <v>671</v>
      </c>
      <c r="B61" s="248" t="s">
        <v>672</v>
      </c>
      <c r="C61" s="248" t="s">
        <v>573</v>
      </c>
      <c r="D61" s="249">
        <v>3150.42</v>
      </c>
      <c r="E61" s="249">
        <v>0.79910000000000003</v>
      </c>
      <c r="F61" s="249">
        <v>2517.5</v>
      </c>
      <c r="G61" s="249">
        <v>0.17069999999999999</v>
      </c>
      <c r="H61" s="249">
        <v>537.62</v>
      </c>
      <c r="I61" s="249">
        <v>1.0200000000000001E-2</v>
      </c>
      <c r="J61" s="249">
        <v>32.08</v>
      </c>
      <c r="K61" s="249">
        <v>0</v>
      </c>
      <c r="L61" s="249">
        <v>0</v>
      </c>
      <c r="M61" s="249">
        <v>9.4999999999999998E-3</v>
      </c>
      <c r="N61" s="249">
        <v>30.01</v>
      </c>
      <c r="O61" s="249">
        <v>1E-3</v>
      </c>
      <c r="P61" s="249">
        <v>3.01</v>
      </c>
      <c r="Q61" s="249">
        <v>0</v>
      </c>
      <c r="R61" s="249">
        <v>0</v>
      </c>
      <c r="S61" s="249">
        <v>8.8499999999999995E-2</v>
      </c>
      <c r="T61" s="249">
        <v>278.94</v>
      </c>
      <c r="U61" s="249">
        <v>1.8E-3</v>
      </c>
      <c r="V61" s="249">
        <v>5.8</v>
      </c>
      <c r="W61" s="249">
        <v>1.0808</v>
      </c>
      <c r="X61" s="249">
        <v>3404.96</v>
      </c>
      <c r="Y61" s="249">
        <v>6555.39</v>
      </c>
    </row>
    <row r="62" spans="1:25" ht="12" customHeight="1">
      <c r="A62" s="248" t="s">
        <v>673</v>
      </c>
      <c r="B62" s="248" t="s">
        <v>674</v>
      </c>
      <c r="C62" s="248" t="s">
        <v>573</v>
      </c>
      <c r="D62" s="249">
        <v>5970.74</v>
      </c>
      <c r="E62" s="249">
        <v>0.79910000000000003</v>
      </c>
      <c r="F62" s="249">
        <v>4771.22</v>
      </c>
      <c r="G62" s="249">
        <v>0.09</v>
      </c>
      <c r="H62" s="249">
        <v>537.62</v>
      </c>
      <c r="I62" s="249">
        <v>5.4000000000000003E-3</v>
      </c>
      <c r="J62" s="249">
        <v>32.08</v>
      </c>
      <c r="K62" s="249">
        <v>0</v>
      </c>
      <c r="L62" s="249">
        <v>0</v>
      </c>
      <c r="M62" s="249">
        <v>0</v>
      </c>
      <c r="N62" s="249">
        <v>0</v>
      </c>
      <c r="O62" s="249">
        <v>5.0000000000000001E-4</v>
      </c>
      <c r="P62" s="249">
        <v>3.01</v>
      </c>
      <c r="Q62" s="249">
        <v>0</v>
      </c>
      <c r="R62" s="249">
        <v>0</v>
      </c>
      <c r="S62" s="249">
        <v>4.6699999999999998E-2</v>
      </c>
      <c r="T62" s="249">
        <v>278.94</v>
      </c>
      <c r="U62" s="249">
        <v>1E-3</v>
      </c>
      <c r="V62" s="249">
        <v>5.8</v>
      </c>
      <c r="W62" s="249">
        <v>0.94269999999999998</v>
      </c>
      <c r="X62" s="249">
        <v>5628.67</v>
      </c>
      <c r="Y62" s="249">
        <v>11599.41</v>
      </c>
    </row>
    <row r="63" spans="1:25" ht="12" customHeight="1">
      <c r="A63" s="248" t="s">
        <v>675</v>
      </c>
      <c r="B63" s="248" t="s">
        <v>676</v>
      </c>
      <c r="C63" s="248" t="s">
        <v>573</v>
      </c>
      <c r="D63" s="249">
        <v>2466.35</v>
      </c>
      <c r="E63" s="249">
        <v>0.89949999999999997</v>
      </c>
      <c r="F63" s="249">
        <v>2218.48</v>
      </c>
      <c r="G63" s="249">
        <v>0.218</v>
      </c>
      <c r="H63" s="249">
        <v>537.62</v>
      </c>
      <c r="I63" s="249">
        <v>1.2200000000000001E-2</v>
      </c>
      <c r="J63" s="249">
        <v>30.13</v>
      </c>
      <c r="K63" s="249">
        <v>0</v>
      </c>
      <c r="L63" s="249">
        <v>0</v>
      </c>
      <c r="M63" s="249">
        <v>2.8799999999999999E-2</v>
      </c>
      <c r="N63" s="249">
        <v>71.05</v>
      </c>
      <c r="O63" s="249">
        <v>1E-3</v>
      </c>
      <c r="P63" s="249">
        <v>2.59</v>
      </c>
      <c r="Q63" s="249">
        <v>0</v>
      </c>
      <c r="R63" s="249">
        <v>0</v>
      </c>
      <c r="S63" s="249">
        <v>0.11310000000000001</v>
      </c>
      <c r="T63" s="249">
        <v>278.94</v>
      </c>
      <c r="U63" s="249">
        <v>2.3999999999999998E-3</v>
      </c>
      <c r="V63" s="249">
        <v>5.8</v>
      </c>
      <c r="W63" s="249">
        <v>1.2749999999999999</v>
      </c>
      <c r="X63" s="249">
        <v>3144.62</v>
      </c>
      <c r="Y63" s="249">
        <v>5610.97</v>
      </c>
    </row>
    <row r="64" spans="1:25" ht="12" customHeight="1">
      <c r="A64" s="248" t="s">
        <v>677</v>
      </c>
      <c r="B64" s="248" t="s">
        <v>678</v>
      </c>
      <c r="C64" s="248" t="s">
        <v>573</v>
      </c>
      <c r="D64" s="249">
        <v>3288.47</v>
      </c>
      <c r="E64" s="249">
        <v>0.89949999999999997</v>
      </c>
      <c r="F64" s="249">
        <v>2957.98</v>
      </c>
      <c r="G64" s="249">
        <v>0.16350000000000001</v>
      </c>
      <c r="H64" s="249">
        <v>537.62</v>
      </c>
      <c r="I64" s="249">
        <v>9.1999999999999998E-3</v>
      </c>
      <c r="J64" s="249">
        <v>30.13</v>
      </c>
      <c r="K64" s="249">
        <v>0</v>
      </c>
      <c r="L64" s="249">
        <v>0</v>
      </c>
      <c r="M64" s="249">
        <v>6.6E-3</v>
      </c>
      <c r="N64" s="249">
        <v>21.72</v>
      </c>
      <c r="O64" s="249">
        <v>8.0000000000000004E-4</v>
      </c>
      <c r="P64" s="249">
        <v>2.59</v>
      </c>
      <c r="Q64" s="249">
        <v>0</v>
      </c>
      <c r="R64" s="249">
        <v>0</v>
      </c>
      <c r="S64" s="249">
        <v>8.48E-2</v>
      </c>
      <c r="T64" s="249">
        <v>278.94</v>
      </c>
      <c r="U64" s="249">
        <v>1.8E-3</v>
      </c>
      <c r="V64" s="249">
        <v>5.8</v>
      </c>
      <c r="W64" s="249">
        <v>1.1660999999999999</v>
      </c>
      <c r="X64" s="249">
        <v>3834.78</v>
      </c>
      <c r="Y64" s="249">
        <v>7123.25</v>
      </c>
    </row>
    <row r="65" spans="1:25" ht="12" customHeight="1">
      <c r="A65" s="248" t="s">
        <v>679</v>
      </c>
      <c r="B65" s="248" t="s">
        <v>680</v>
      </c>
      <c r="C65" s="248" t="s">
        <v>573</v>
      </c>
      <c r="D65" s="249">
        <v>6745.09</v>
      </c>
      <c r="E65" s="249">
        <v>0.89949999999999997</v>
      </c>
      <c r="F65" s="249">
        <v>6067.21</v>
      </c>
      <c r="G65" s="249">
        <v>7.9699999999999993E-2</v>
      </c>
      <c r="H65" s="249">
        <v>537.62</v>
      </c>
      <c r="I65" s="249">
        <v>4.4999999999999997E-3</v>
      </c>
      <c r="J65" s="249">
        <v>30.13</v>
      </c>
      <c r="K65" s="249">
        <v>0</v>
      </c>
      <c r="L65" s="249">
        <v>0</v>
      </c>
      <c r="M65" s="249">
        <v>0</v>
      </c>
      <c r="N65" s="249">
        <v>0</v>
      </c>
      <c r="O65" s="249">
        <v>4.0000000000000002E-4</v>
      </c>
      <c r="P65" s="249">
        <v>2.59</v>
      </c>
      <c r="Q65" s="249">
        <v>0</v>
      </c>
      <c r="R65" s="249">
        <v>0</v>
      </c>
      <c r="S65" s="249">
        <v>4.1399999999999999E-2</v>
      </c>
      <c r="T65" s="249">
        <v>278.94</v>
      </c>
      <c r="U65" s="249">
        <v>8.9999999999999998E-4</v>
      </c>
      <c r="V65" s="249">
        <v>5.8</v>
      </c>
      <c r="W65" s="249">
        <v>1.0263</v>
      </c>
      <c r="X65" s="249">
        <v>6922.29</v>
      </c>
      <c r="Y65" s="249">
        <v>13667.38</v>
      </c>
    </row>
    <row r="66" spans="1:25" ht="12" customHeight="1">
      <c r="A66" s="248" t="s">
        <v>681</v>
      </c>
      <c r="B66" s="248" t="s">
        <v>682</v>
      </c>
      <c r="C66" s="248" t="s">
        <v>573</v>
      </c>
      <c r="D66" s="249">
        <v>2028.28</v>
      </c>
      <c r="E66" s="249">
        <v>0.78749999999999998</v>
      </c>
      <c r="F66" s="249">
        <v>1597.27</v>
      </c>
      <c r="G66" s="249">
        <v>0.2651</v>
      </c>
      <c r="H66" s="249">
        <v>537.62</v>
      </c>
      <c r="I66" s="249">
        <v>1.77E-2</v>
      </c>
      <c r="J66" s="249">
        <v>35.96</v>
      </c>
      <c r="K66" s="249">
        <v>0</v>
      </c>
      <c r="L66" s="249">
        <v>0</v>
      </c>
      <c r="M66" s="249">
        <v>4.8000000000000001E-2</v>
      </c>
      <c r="N66" s="249">
        <v>97.34</v>
      </c>
      <c r="O66" s="249">
        <v>1.8E-3</v>
      </c>
      <c r="P66" s="249">
        <v>3.75</v>
      </c>
      <c r="Q66" s="249">
        <v>0</v>
      </c>
      <c r="R66" s="249">
        <v>0</v>
      </c>
      <c r="S66" s="249">
        <v>0.13750000000000001</v>
      </c>
      <c r="T66" s="249">
        <v>278.94</v>
      </c>
      <c r="U66" s="249">
        <v>2.8999999999999998E-3</v>
      </c>
      <c r="V66" s="249">
        <v>5.8</v>
      </c>
      <c r="W66" s="249">
        <v>1.2605</v>
      </c>
      <c r="X66" s="249">
        <v>2556.6799999999998</v>
      </c>
      <c r="Y66" s="249">
        <v>4584.96</v>
      </c>
    </row>
    <row r="67" spans="1:25" ht="12" customHeight="1">
      <c r="A67" s="248" t="s">
        <v>683</v>
      </c>
      <c r="B67" s="248" t="s">
        <v>684</v>
      </c>
      <c r="C67" s="248" t="s">
        <v>573</v>
      </c>
      <c r="D67" s="249">
        <v>9350</v>
      </c>
      <c r="E67" s="249">
        <v>0.79379999999999995</v>
      </c>
      <c r="F67" s="249">
        <v>7422.03</v>
      </c>
      <c r="G67" s="249">
        <v>5.7500000000000002E-2</v>
      </c>
      <c r="H67" s="249">
        <v>537.62</v>
      </c>
      <c r="I67" s="249">
        <v>3.3999999999999998E-3</v>
      </c>
      <c r="J67" s="249">
        <v>32.08</v>
      </c>
      <c r="K67" s="249">
        <v>0</v>
      </c>
      <c r="L67" s="249">
        <v>0</v>
      </c>
      <c r="M67" s="249">
        <v>0</v>
      </c>
      <c r="N67" s="249">
        <v>0</v>
      </c>
      <c r="O67" s="249">
        <v>2.0000000000000001E-4</v>
      </c>
      <c r="P67" s="249">
        <v>2.04</v>
      </c>
      <c r="Q67" s="249">
        <v>0</v>
      </c>
      <c r="R67" s="249">
        <v>0</v>
      </c>
      <c r="S67" s="249">
        <v>2.98E-2</v>
      </c>
      <c r="T67" s="249">
        <v>278.94</v>
      </c>
      <c r="U67" s="249">
        <v>5.9999999999999995E-4</v>
      </c>
      <c r="V67" s="249">
        <v>5.8</v>
      </c>
      <c r="W67" s="249">
        <v>0.88539999999999996</v>
      </c>
      <c r="X67" s="249">
        <v>8278.51</v>
      </c>
      <c r="Y67" s="249">
        <v>17628.509999999998</v>
      </c>
    </row>
    <row r="68" spans="1:25" ht="12" customHeight="1">
      <c r="A68" s="248" t="s">
        <v>685</v>
      </c>
      <c r="B68" s="248" t="s">
        <v>686</v>
      </c>
      <c r="C68" s="248" t="s">
        <v>573</v>
      </c>
      <c r="D68" s="249">
        <v>3882.4</v>
      </c>
      <c r="E68" s="249">
        <v>0.90039999999999998</v>
      </c>
      <c r="F68" s="249">
        <v>3495.71</v>
      </c>
      <c r="G68" s="249">
        <v>0.13850000000000001</v>
      </c>
      <c r="H68" s="249">
        <v>537.62</v>
      </c>
      <c r="I68" s="249">
        <v>7.7999999999999996E-3</v>
      </c>
      <c r="J68" s="249">
        <v>30.13</v>
      </c>
      <c r="K68" s="249">
        <v>0</v>
      </c>
      <c r="L68" s="249">
        <v>0</v>
      </c>
      <c r="M68" s="249">
        <v>0</v>
      </c>
      <c r="N68" s="249">
        <v>0</v>
      </c>
      <c r="O68" s="249">
        <v>8.9999999999999998E-4</v>
      </c>
      <c r="P68" s="249">
        <v>3.67</v>
      </c>
      <c r="Q68" s="249">
        <v>0</v>
      </c>
      <c r="R68" s="249">
        <v>0</v>
      </c>
      <c r="S68" s="249">
        <v>7.1800000000000003E-2</v>
      </c>
      <c r="T68" s="249">
        <v>278.94</v>
      </c>
      <c r="U68" s="249">
        <v>1.5E-3</v>
      </c>
      <c r="V68" s="249">
        <v>5.8</v>
      </c>
      <c r="W68" s="249">
        <v>1.1209</v>
      </c>
      <c r="X68" s="249">
        <v>4351.88</v>
      </c>
      <c r="Y68" s="249">
        <v>8234.27</v>
      </c>
    </row>
    <row r="69" spans="1:25" ht="10.95" customHeight="1">
      <c r="A69" s="583" t="s">
        <v>158</v>
      </c>
      <c r="B69" s="583" t="s">
        <v>159</v>
      </c>
      <c r="C69" s="583" t="s">
        <v>160</v>
      </c>
      <c r="D69" s="583" t="s">
        <v>161</v>
      </c>
      <c r="E69" s="583" t="s">
        <v>162</v>
      </c>
      <c r="F69" s="583" t="s">
        <v>163</v>
      </c>
      <c r="G69" s="580" t="s">
        <v>164</v>
      </c>
      <c r="H69" s="581"/>
      <c r="I69" s="581"/>
      <c r="J69" s="581"/>
      <c r="K69" s="581"/>
      <c r="L69" s="581"/>
      <c r="M69" s="581"/>
      <c r="N69" s="581"/>
      <c r="O69" s="581"/>
      <c r="P69" s="582"/>
      <c r="Q69" s="580" t="s">
        <v>165</v>
      </c>
      <c r="R69" s="581"/>
      <c r="S69" s="581"/>
      <c r="T69" s="581"/>
      <c r="U69" s="581"/>
      <c r="V69" s="582"/>
      <c r="W69" s="574" t="s">
        <v>166</v>
      </c>
      <c r="X69" s="575"/>
      <c r="Y69" s="583" t="s">
        <v>167</v>
      </c>
    </row>
    <row r="70" spans="1:25" ht="19.95" customHeight="1">
      <c r="A70" s="584"/>
      <c r="B70" s="584"/>
      <c r="C70" s="584"/>
      <c r="D70" s="584"/>
      <c r="E70" s="584"/>
      <c r="F70" s="584"/>
      <c r="G70" s="578" t="s">
        <v>168</v>
      </c>
      <c r="H70" s="579"/>
      <c r="I70" s="578" t="s">
        <v>169</v>
      </c>
      <c r="J70" s="579"/>
      <c r="K70" s="578" t="s">
        <v>170</v>
      </c>
      <c r="L70" s="579"/>
      <c r="M70" s="578" t="s">
        <v>171</v>
      </c>
      <c r="N70" s="579"/>
      <c r="O70" s="578" t="s">
        <v>172</v>
      </c>
      <c r="P70" s="579"/>
      <c r="Q70" s="578" t="s">
        <v>173</v>
      </c>
      <c r="R70" s="579"/>
      <c r="S70" s="578" t="s">
        <v>174</v>
      </c>
      <c r="T70" s="579"/>
      <c r="U70" s="578" t="s">
        <v>175</v>
      </c>
      <c r="V70" s="579"/>
      <c r="W70" s="576"/>
      <c r="X70" s="577"/>
      <c r="Y70" s="585"/>
    </row>
    <row r="71" spans="1:25" ht="13.05" customHeight="1">
      <c r="A71" s="585"/>
      <c r="B71" s="585"/>
      <c r="C71" s="585"/>
      <c r="D71" s="585"/>
      <c r="E71" s="585"/>
      <c r="F71" s="585"/>
      <c r="G71" s="393" t="s">
        <v>176</v>
      </c>
      <c r="H71" s="393" t="s">
        <v>177</v>
      </c>
      <c r="I71" s="393" t="s">
        <v>176</v>
      </c>
      <c r="J71" s="393" t="s">
        <v>177</v>
      </c>
      <c r="K71" s="393" t="s">
        <v>176</v>
      </c>
      <c r="L71" s="393" t="s">
        <v>177</v>
      </c>
      <c r="M71" s="393" t="s">
        <v>176</v>
      </c>
      <c r="N71" s="393" t="s">
        <v>177</v>
      </c>
      <c r="O71" s="393" t="s">
        <v>176</v>
      </c>
      <c r="P71" s="393" t="s">
        <v>177</v>
      </c>
      <c r="Q71" s="393" t="s">
        <v>176</v>
      </c>
      <c r="R71" s="393" t="s">
        <v>177</v>
      </c>
      <c r="S71" s="393" t="s">
        <v>176</v>
      </c>
      <c r="T71" s="393" t="s">
        <v>177</v>
      </c>
      <c r="U71" s="393" t="s">
        <v>176</v>
      </c>
      <c r="V71" s="393" t="s">
        <v>177</v>
      </c>
      <c r="W71" s="393" t="s">
        <v>176</v>
      </c>
      <c r="X71" s="393" t="s">
        <v>177</v>
      </c>
      <c r="Y71" s="393" t="s">
        <v>177</v>
      </c>
    </row>
    <row r="72" spans="1:25" ht="12" customHeight="1">
      <c r="A72" s="248" t="s">
        <v>687</v>
      </c>
      <c r="B72" s="248" t="s">
        <v>688</v>
      </c>
      <c r="C72" s="248" t="s">
        <v>573</v>
      </c>
      <c r="D72" s="249">
        <v>5176.53</v>
      </c>
      <c r="E72" s="249">
        <v>0.90039999999999998</v>
      </c>
      <c r="F72" s="249">
        <v>4660.95</v>
      </c>
      <c r="G72" s="249">
        <v>0.10390000000000001</v>
      </c>
      <c r="H72" s="249">
        <v>537.62</v>
      </c>
      <c r="I72" s="249">
        <v>5.7999999999999996E-3</v>
      </c>
      <c r="J72" s="249">
        <v>30.13</v>
      </c>
      <c r="K72" s="249">
        <v>0</v>
      </c>
      <c r="L72" s="249">
        <v>0</v>
      </c>
      <c r="M72" s="249">
        <v>0</v>
      </c>
      <c r="N72" s="249">
        <v>0</v>
      </c>
      <c r="O72" s="249">
        <v>6.9999999999999999E-4</v>
      </c>
      <c r="P72" s="249">
        <v>3.67</v>
      </c>
      <c r="Q72" s="249">
        <v>0</v>
      </c>
      <c r="R72" s="249">
        <v>0</v>
      </c>
      <c r="S72" s="249">
        <v>5.3900000000000003E-2</v>
      </c>
      <c r="T72" s="249">
        <v>278.94</v>
      </c>
      <c r="U72" s="249">
        <v>1.1000000000000001E-3</v>
      </c>
      <c r="V72" s="249">
        <v>5.8</v>
      </c>
      <c r="W72" s="249">
        <v>1.0658000000000001</v>
      </c>
      <c r="X72" s="249">
        <v>5517.11</v>
      </c>
      <c r="Y72" s="249">
        <v>10693.64</v>
      </c>
    </row>
    <row r="73" spans="1:25" ht="12" customHeight="1">
      <c r="A73" s="248" t="s">
        <v>689</v>
      </c>
      <c r="B73" s="248" t="s">
        <v>690</v>
      </c>
      <c r="C73" s="248" t="s">
        <v>573</v>
      </c>
      <c r="D73" s="249">
        <v>8766.3799999999992</v>
      </c>
      <c r="E73" s="249">
        <v>0.90039999999999998</v>
      </c>
      <c r="F73" s="249">
        <v>7893.24</v>
      </c>
      <c r="G73" s="249">
        <v>6.13E-2</v>
      </c>
      <c r="H73" s="249">
        <v>537.62</v>
      </c>
      <c r="I73" s="249">
        <v>3.3999999999999998E-3</v>
      </c>
      <c r="J73" s="249">
        <v>30.13</v>
      </c>
      <c r="K73" s="249">
        <v>0</v>
      </c>
      <c r="L73" s="249">
        <v>0</v>
      </c>
      <c r="M73" s="249">
        <v>0</v>
      </c>
      <c r="N73" s="249">
        <v>0</v>
      </c>
      <c r="O73" s="249">
        <v>4.0000000000000002E-4</v>
      </c>
      <c r="P73" s="249">
        <v>3.67</v>
      </c>
      <c r="Q73" s="249">
        <v>0</v>
      </c>
      <c r="R73" s="249">
        <v>0</v>
      </c>
      <c r="S73" s="249">
        <v>3.1800000000000002E-2</v>
      </c>
      <c r="T73" s="249">
        <v>278.94</v>
      </c>
      <c r="U73" s="249">
        <v>6.9999999999999999E-4</v>
      </c>
      <c r="V73" s="249">
        <v>5.8</v>
      </c>
      <c r="W73" s="249">
        <v>0.99809999999999999</v>
      </c>
      <c r="X73" s="249">
        <v>8749.41</v>
      </c>
      <c r="Y73" s="249">
        <v>17515.79</v>
      </c>
    </row>
    <row r="74" spans="1:25" ht="12" customHeight="1">
      <c r="A74" s="248" t="s">
        <v>691</v>
      </c>
      <c r="B74" s="251" t="s">
        <v>692</v>
      </c>
      <c r="C74" s="248" t="s">
        <v>573</v>
      </c>
      <c r="D74" s="249">
        <v>1897.44</v>
      </c>
      <c r="E74" s="249">
        <v>0.78810000000000002</v>
      </c>
      <c r="F74" s="249">
        <v>1495.37</v>
      </c>
      <c r="G74" s="249">
        <v>0.2833</v>
      </c>
      <c r="H74" s="249">
        <v>537.62</v>
      </c>
      <c r="I74" s="249">
        <v>2.06E-2</v>
      </c>
      <c r="J74" s="249">
        <v>39.049999999999997</v>
      </c>
      <c r="K74" s="249">
        <v>0</v>
      </c>
      <c r="L74" s="249">
        <v>0</v>
      </c>
      <c r="M74" s="249">
        <v>5.5399999999999998E-2</v>
      </c>
      <c r="N74" s="249">
        <v>105.19</v>
      </c>
      <c r="O74" s="249">
        <v>2E-3</v>
      </c>
      <c r="P74" s="249">
        <v>3.83</v>
      </c>
      <c r="Q74" s="249">
        <v>0</v>
      </c>
      <c r="R74" s="249">
        <v>0</v>
      </c>
      <c r="S74" s="249">
        <v>0.14699999999999999</v>
      </c>
      <c r="T74" s="249">
        <v>278.94</v>
      </c>
      <c r="U74" s="249">
        <v>3.0999999999999999E-3</v>
      </c>
      <c r="V74" s="249">
        <v>5.8</v>
      </c>
      <c r="W74" s="249">
        <v>1.2995000000000001</v>
      </c>
      <c r="X74" s="249">
        <v>2465.8000000000002</v>
      </c>
      <c r="Y74" s="249">
        <v>4363.24</v>
      </c>
    </row>
    <row r="75" spans="1:25" ht="12" customHeight="1">
      <c r="A75" s="251" t="s">
        <v>693</v>
      </c>
      <c r="B75" s="251" t="s">
        <v>694</v>
      </c>
      <c r="C75" s="248" t="s">
        <v>573</v>
      </c>
      <c r="D75" s="249">
        <v>1761.39</v>
      </c>
      <c r="E75" s="249">
        <v>0.78769999999999996</v>
      </c>
      <c r="F75" s="249">
        <v>1387.44</v>
      </c>
      <c r="G75" s="249">
        <v>0.30520000000000003</v>
      </c>
      <c r="H75" s="249">
        <v>537.62</v>
      </c>
      <c r="I75" s="249">
        <v>2.2200000000000001E-2</v>
      </c>
      <c r="J75" s="249">
        <v>39.049999999999997</v>
      </c>
      <c r="K75" s="249">
        <v>0</v>
      </c>
      <c r="L75" s="249">
        <v>0</v>
      </c>
      <c r="M75" s="249">
        <v>6.4399999999999999E-2</v>
      </c>
      <c r="N75" s="249">
        <v>113.35</v>
      </c>
      <c r="O75" s="249">
        <v>2.2000000000000001E-3</v>
      </c>
      <c r="P75" s="249">
        <v>3.82</v>
      </c>
      <c r="Q75" s="249">
        <v>0</v>
      </c>
      <c r="R75" s="249">
        <v>0</v>
      </c>
      <c r="S75" s="249">
        <v>0.15840000000000001</v>
      </c>
      <c r="T75" s="249">
        <v>278.94</v>
      </c>
      <c r="U75" s="249">
        <v>3.3E-3</v>
      </c>
      <c r="V75" s="249">
        <v>5.8</v>
      </c>
      <c r="W75" s="249">
        <v>1.3432999999999999</v>
      </c>
      <c r="X75" s="249">
        <v>2366.02</v>
      </c>
      <c r="Y75" s="249">
        <v>4127.41</v>
      </c>
    </row>
    <row r="76" spans="1:25" ht="12" customHeight="1">
      <c r="A76" s="248" t="s">
        <v>695</v>
      </c>
      <c r="B76" s="248" t="s">
        <v>696</v>
      </c>
      <c r="C76" s="248" t="s">
        <v>573</v>
      </c>
      <c r="D76" s="249">
        <v>4142.5600000000004</v>
      </c>
      <c r="E76" s="249">
        <v>0.80149999999999999</v>
      </c>
      <c r="F76" s="249">
        <v>3320.26</v>
      </c>
      <c r="G76" s="249">
        <v>0.1298</v>
      </c>
      <c r="H76" s="249">
        <v>537.62</v>
      </c>
      <c r="I76" s="249">
        <v>7.7000000000000002E-3</v>
      </c>
      <c r="J76" s="249">
        <v>32.08</v>
      </c>
      <c r="K76" s="249">
        <v>0</v>
      </c>
      <c r="L76" s="249">
        <v>0</v>
      </c>
      <c r="M76" s="249">
        <v>0</v>
      </c>
      <c r="N76" s="249">
        <v>0</v>
      </c>
      <c r="O76" s="249">
        <v>1E-3</v>
      </c>
      <c r="P76" s="249">
        <v>4.07</v>
      </c>
      <c r="Q76" s="249">
        <v>0</v>
      </c>
      <c r="R76" s="249">
        <v>0</v>
      </c>
      <c r="S76" s="249">
        <v>6.7299999999999999E-2</v>
      </c>
      <c r="T76" s="249">
        <v>278.94</v>
      </c>
      <c r="U76" s="249">
        <v>1.4E-3</v>
      </c>
      <c r="V76" s="249">
        <v>5.8</v>
      </c>
      <c r="W76" s="249">
        <v>1.0086999999999999</v>
      </c>
      <c r="X76" s="249">
        <v>4178.7700000000004</v>
      </c>
      <c r="Y76" s="249">
        <v>8321.33</v>
      </c>
    </row>
    <row r="77" spans="1:25" ht="12" customHeight="1">
      <c r="A77" s="248" t="s">
        <v>697</v>
      </c>
      <c r="B77" s="248" t="s">
        <v>698</v>
      </c>
      <c r="C77" s="248" t="s">
        <v>573</v>
      </c>
      <c r="D77" s="249">
        <v>5523.41</v>
      </c>
      <c r="E77" s="249">
        <v>0.80149999999999999</v>
      </c>
      <c r="F77" s="249">
        <v>4427.0200000000004</v>
      </c>
      <c r="G77" s="249">
        <v>9.7299999999999998E-2</v>
      </c>
      <c r="H77" s="249">
        <v>537.62</v>
      </c>
      <c r="I77" s="249">
        <v>5.7999999999999996E-3</v>
      </c>
      <c r="J77" s="249">
        <v>32.08</v>
      </c>
      <c r="K77" s="249">
        <v>0</v>
      </c>
      <c r="L77" s="249">
        <v>0</v>
      </c>
      <c r="M77" s="249">
        <v>0</v>
      </c>
      <c r="N77" s="249">
        <v>0</v>
      </c>
      <c r="O77" s="249">
        <v>6.9999999999999999E-4</v>
      </c>
      <c r="P77" s="249">
        <v>4.07</v>
      </c>
      <c r="Q77" s="249">
        <v>0</v>
      </c>
      <c r="R77" s="249">
        <v>0</v>
      </c>
      <c r="S77" s="249">
        <v>5.0500000000000003E-2</v>
      </c>
      <c r="T77" s="249">
        <v>278.94</v>
      </c>
      <c r="U77" s="249">
        <v>1.1000000000000001E-3</v>
      </c>
      <c r="V77" s="249">
        <v>5.8</v>
      </c>
      <c r="W77" s="249">
        <v>0.95689999999999997</v>
      </c>
      <c r="X77" s="249">
        <v>5285.53</v>
      </c>
      <c r="Y77" s="249">
        <v>10808.94</v>
      </c>
    </row>
    <row r="78" spans="1:25" ht="12" customHeight="1">
      <c r="A78" s="248" t="s">
        <v>699</v>
      </c>
      <c r="B78" s="248" t="s">
        <v>700</v>
      </c>
      <c r="C78" s="248" t="s">
        <v>573</v>
      </c>
      <c r="D78" s="249">
        <v>8859.51</v>
      </c>
      <c r="E78" s="249">
        <v>0.80149999999999999</v>
      </c>
      <c r="F78" s="249">
        <v>7100.9</v>
      </c>
      <c r="G78" s="249">
        <v>6.0699999999999997E-2</v>
      </c>
      <c r="H78" s="249">
        <v>537.62</v>
      </c>
      <c r="I78" s="249">
        <v>3.5999999999999999E-3</v>
      </c>
      <c r="J78" s="249">
        <v>32.08</v>
      </c>
      <c r="K78" s="249">
        <v>0</v>
      </c>
      <c r="L78" s="249">
        <v>0</v>
      </c>
      <c r="M78" s="249">
        <v>0</v>
      </c>
      <c r="N78" s="249">
        <v>0</v>
      </c>
      <c r="O78" s="249">
        <v>5.0000000000000001E-4</v>
      </c>
      <c r="P78" s="249">
        <v>4.07</v>
      </c>
      <c r="Q78" s="249">
        <v>0</v>
      </c>
      <c r="R78" s="249">
        <v>0</v>
      </c>
      <c r="S78" s="249">
        <v>3.15E-2</v>
      </c>
      <c r="T78" s="249">
        <v>278.94</v>
      </c>
      <c r="U78" s="249">
        <v>6.9999999999999999E-4</v>
      </c>
      <c r="V78" s="249">
        <v>5.8</v>
      </c>
      <c r="W78" s="249">
        <v>0.89839999999999998</v>
      </c>
      <c r="X78" s="249">
        <v>7959.41</v>
      </c>
      <c r="Y78" s="249">
        <v>16818.93</v>
      </c>
    </row>
    <row r="79" spans="1:25" ht="12" customHeight="1">
      <c r="A79" s="248" t="s">
        <v>701</v>
      </c>
      <c r="B79" s="248" t="s">
        <v>702</v>
      </c>
      <c r="C79" s="248" t="s">
        <v>573</v>
      </c>
      <c r="D79" s="249">
        <v>2854.62</v>
      </c>
      <c r="E79" s="249">
        <v>0.80220000000000002</v>
      </c>
      <c r="F79" s="249">
        <v>2289.9699999999998</v>
      </c>
      <c r="G79" s="249">
        <v>0.1883</v>
      </c>
      <c r="H79" s="249">
        <v>537.62</v>
      </c>
      <c r="I79" s="249">
        <v>1.12E-2</v>
      </c>
      <c r="J79" s="249">
        <v>32.08</v>
      </c>
      <c r="K79" s="249">
        <v>0</v>
      </c>
      <c r="L79" s="249">
        <v>0</v>
      </c>
      <c r="M79" s="249">
        <v>1.67E-2</v>
      </c>
      <c r="N79" s="249">
        <v>47.76</v>
      </c>
      <c r="O79" s="249">
        <v>1.4E-3</v>
      </c>
      <c r="P79" s="249">
        <v>3.92</v>
      </c>
      <c r="Q79" s="249">
        <v>0</v>
      </c>
      <c r="R79" s="249">
        <v>0</v>
      </c>
      <c r="S79" s="249">
        <v>9.7699999999999995E-2</v>
      </c>
      <c r="T79" s="249">
        <v>278.94</v>
      </c>
      <c r="U79" s="249">
        <v>2E-3</v>
      </c>
      <c r="V79" s="249">
        <v>5.8</v>
      </c>
      <c r="W79" s="249">
        <v>1.1195999999999999</v>
      </c>
      <c r="X79" s="249">
        <v>3196.09</v>
      </c>
      <c r="Y79" s="249">
        <v>6050.7</v>
      </c>
    </row>
    <row r="80" spans="1:25" ht="12" customHeight="1">
      <c r="A80" s="248" t="s">
        <v>703</v>
      </c>
      <c r="B80" s="248" t="s">
        <v>704</v>
      </c>
      <c r="C80" s="248" t="s">
        <v>573</v>
      </c>
      <c r="D80" s="249">
        <v>3806.15</v>
      </c>
      <c r="E80" s="249">
        <v>0.80220000000000002</v>
      </c>
      <c r="F80" s="249">
        <v>3053.3</v>
      </c>
      <c r="G80" s="249">
        <v>0.14130000000000001</v>
      </c>
      <c r="H80" s="249">
        <v>537.62</v>
      </c>
      <c r="I80" s="249">
        <v>8.3999999999999995E-3</v>
      </c>
      <c r="J80" s="249">
        <v>32.08</v>
      </c>
      <c r="K80" s="249">
        <v>0</v>
      </c>
      <c r="L80" s="249">
        <v>0</v>
      </c>
      <c r="M80" s="249">
        <v>0</v>
      </c>
      <c r="N80" s="249">
        <v>0</v>
      </c>
      <c r="O80" s="249">
        <v>1E-3</v>
      </c>
      <c r="P80" s="249">
        <v>3.92</v>
      </c>
      <c r="Q80" s="249">
        <v>0</v>
      </c>
      <c r="R80" s="249">
        <v>0</v>
      </c>
      <c r="S80" s="249">
        <v>7.3300000000000004E-2</v>
      </c>
      <c r="T80" s="249">
        <v>278.94</v>
      </c>
      <c r="U80" s="249">
        <v>1.5E-3</v>
      </c>
      <c r="V80" s="249">
        <v>5.8</v>
      </c>
      <c r="W80" s="249">
        <v>1.0277000000000001</v>
      </c>
      <c r="X80" s="249">
        <v>3911.66</v>
      </c>
      <c r="Y80" s="249">
        <v>7717.81</v>
      </c>
    </row>
    <row r="81" spans="1:25" ht="12" customHeight="1">
      <c r="A81" s="248" t="s">
        <v>705</v>
      </c>
      <c r="B81" s="248" t="s">
        <v>706</v>
      </c>
      <c r="C81" s="248" t="s">
        <v>573</v>
      </c>
      <c r="D81" s="249">
        <v>6034.94</v>
      </c>
      <c r="E81" s="249">
        <v>0.80220000000000002</v>
      </c>
      <c r="F81" s="249">
        <v>4841.2299999999996</v>
      </c>
      <c r="G81" s="249">
        <v>8.9099999999999999E-2</v>
      </c>
      <c r="H81" s="249">
        <v>537.62</v>
      </c>
      <c r="I81" s="249">
        <v>5.3E-3</v>
      </c>
      <c r="J81" s="249">
        <v>32.08</v>
      </c>
      <c r="K81" s="249">
        <v>0</v>
      </c>
      <c r="L81" s="249">
        <v>0</v>
      </c>
      <c r="M81" s="249">
        <v>0</v>
      </c>
      <c r="N81" s="249">
        <v>0</v>
      </c>
      <c r="O81" s="249">
        <v>5.9999999999999995E-4</v>
      </c>
      <c r="P81" s="249">
        <v>3.92</v>
      </c>
      <c r="Q81" s="249">
        <v>0</v>
      </c>
      <c r="R81" s="249">
        <v>0</v>
      </c>
      <c r="S81" s="249">
        <v>4.6199999999999998E-2</v>
      </c>
      <c r="T81" s="249">
        <v>278.94</v>
      </c>
      <c r="U81" s="249">
        <v>1E-3</v>
      </c>
      <c r="V81" s="249">
        <v>5.8</v>
      </c>
      <c r="W81" s="249">
        <v>0.94440000000000002</v>
      </c>
      <c r="X81" s="249">
        <v>5699.59</v>
      </c>
      <c r="Y81" s="249">
        <v>11734.52</v>
      </c>
    </row>
    <row r="82" spans="1:25" ht="12" customHeight="1">
      <c r="A82" s="248" t="s">
        <v>707</v>
      </c>
      <c r="B82" s="248" t="s">
        <v>708</v>
      </c>
      <c r="C82" s="248" t="s">
        <v>573</v>
      </c>
      <c r="D82" s="249">
        <v>2787.29</v>
      </c>
      <c r="E82" s="249">
        <v>0.80010000000000003</v>
      </c>
      <c r="F82" s="249">
        <v>2230.11</v>
      </c>
      <c r="G82" s="249">
        <v>0.19289999999999999</v>
      </c>
      <c r="H82" s="249">
        <v>537.62</v>
      </c>
      <c r="I82" s="249">
        <v>1.15E-2</v>
      </c>
      <c r="J82" s="249">
        <v>32.08</v>
      </c>
      <c r="K82" s="249">
        <v>0</v>
      </c>
      <c r="L82" s="249">
        <v>0</v>
      </c>
      <c r="M82" s="249">
        <v>1.8599999999999998E-2</v>
      </c>
      <c r="N82" s="249">
        <v>51.79</v>
      </c>
      <c r="O82" s="249">
        <v>1.1999999999999999E-3</v>
      </c>
      <c r="P82" s="249">
        <v>3.32</v>
      </c>
      <c r="Q82" s="249">
        <v>0</v>
      </c>
      <c r="R82" s="249">
        <v>0</v>
      </c>
      <c r="S82" s="249">
        <v>0.10009999999999999</v>
      </c>
      <c r="T82" s="249">
        <v>278.94</v>
      </c>
      <c r="U82" s="249">
        <v>2.0999999999999999E-3</v>
      </c>
      <c r="V82" s="249">
        <v>5.8</v>
      </c>
      <c r="W82" s="249">
        <v>1.1264000000000001</v>
      </c>
      <c r="X82" s="249">
        <v>3139.67</v>
      </c>
      <c r="Y82" s="249">
        <v>5926.96</v>
      </c>
    </row>
    <row r="83" spans="1:25" ht="12" customHeight="1">
      <c r="A83" s="248" t="s">
        <v>709</v>
      </c>
      <c r="B83" s="248" t="s">
        <v>710</v>
      </c>
      <c r="C83" s="248" t="s">
        <v>573</v>
      </c>
      <c r="D83" s="249">
        <v>3716.39</v>
      </c>
      <c r="E83" s="249">
        <v>0.80010000000000003</v>
      </c>
      <c r="F83" s="249">
        <v>2973.48</v>
      </c>
      <c r="G83" s="249">
        <v>0.1447</v>
      </c>
      <c r="H83" s="249">
        <v>537.62</v>
      </c>
      <c r="I83" s="249">
        <v>8.6E-3</v>
      </c>
      <c r="J83" s="249">
        <v>32.08</v>
      </c>
      <c r="K83" s="249">
        <v>0</v>
      </c>
      <c r="L83" s="249">
        <v>0</v>
      </c>
      <c r="M83" s="249">
        <v>0</v>
      </c>
      <c r="N83" s="249">
        <v>0</v>
      </c>
      <c r="O83" s="249">
        <v>8.9999999999999998E-4</v>
      </c>
      <c r="P83" s="249">
        <v>3.32</v>
      </c>
      <c r="Q83" s="249">
        <v>0</v>
      </c>
      <c r="R83" s="249">
        <v>0</v>
      </c>
      <c r="S83" s="249">
        <v>7.51E-2</v>
      </c>
      <c r="T83" s="249">
        <v>278.94</v>
      </c>
      <c r="U83" s="249">
        <v>1.6000000000000001E-3</v>
      </c>
      <c r="V83" s="249">
        <v>5.8</v>
      </c>
      <c r="W83" s="249">
        <v>1.0308999999999999</v>
      </c>
      <c r="X83" s="249">
        <v>3831.24</v>
      </c>
      <c r="Y83" s="249">
        <v>7547.63</v>
      </c>
    </row>
    <row r="84" spans="1:25" ht="12" customHeight="1">
      <c r="A84" s="248" t="s">
        <v>711</v>
      </c>
      <c r="B84" s="248" t="s">
        <v>712</v>
      </c>
      <c r="C84" s="248" t="s">
        <v>573</v>
      </c>
      <c r="D84" s="249">
        <v>5326.83</v>
      </c>
      <c r="E84" s="249">
        <v>0.80010000000000003</v>
      </c>
      <c r="F84" s="249">
        <v>4261.99</v>
      </c>
      <c r="G84" s="249">
        <v>0.1009</v>
      </c>
      <c r="H84" s="249">
        <v>537.62</v>
      </c>
      <c r="I84" s="249">
        <v>6.0000000000000001E-3</v>
      </c>
      <c r="J84" s="249">
        <v>32.08</v>
      </c>
      <c r="K84" s="249">
        <v>0</v>
      </c>
      <c r="L84" s="249">
        <v>0</v>
      </c>
      <c r="M84" s="249">
        <v>0</v>
      </c>
      <c r="N84" s="249">
        <v>0</v>
      </c>
      <c r="O84" s="249">
        <v>5.9999999999999995E-4</v>
      </c>
      <c r="P84" s="249">
        <v>3.32</v>
      </c>
      <c r="Q84" s="249">
        <v>0</v>
      </c>
      <c r="R84" s="249">
        <v>0</v>
      </c>
      <c r="S84" s="249">
        <v>5.2400000000000002E-2</v>
      </c>
      <c r="T84" s="249">
        <v>278.94</v>
      </c>
      <c r="U84" s="249">
        <v>1.1000000000000001E-3</v>
      </c>
      <c r="V84" s="249">
        <v>5.8</v>
      </c>
      <c r="W84" s="249">
        <v>0.96109999999999995</v>
      </c>
      <c r="X84" s="249">
        <v>5119.76</v>
      </c>
      <c r="Y84" s="249">
        <v>10446.58</v>
      </c>
    </row>
    <row r="85" spans="1:25" ht="12" customHeight="1">
      <c r="A85" s="251" t="s">
        <v>713</v>
      </c>
      <c r="B85" s="251" t="s">
        <v>714</v>
      </c>
      <c r="C85" s="248" t="s">
        <v>573</v>
      </c>
      <c r="D85" s="249">
        <v>2231.4499999999998</v>
      </c>
      <c r="E85" s="249">
        <v>0.78859999999999997</v>
      </c>
      <c r="F85" s="249">
        <v>1759.72</v>
      </c>
      <c r="G85" s="249">
        <v>0.2409</v>
      </c>
      <c r="H85" s="249">
        <v>537.62</v>
      </c>
      <c r="I85" s="249">
        <v>0</v>
      </c>
      <c r="J85" s="249">
        <v>0</v>
      </c>
      <c r="K85" s="249">
        <v>0</v>
      </c>
      <c r="L85" s="249">
        <v>0</v>
      </c>
      <c r="M85" s="249">
        <v>3.8199999999999998E-2</v>
      </c>
      <c r="N85" s="249">
        <v>85.14</v>
      </c>
      <c r="O85" s="249">
        <v>1.1999999999999999E-3</v>
      </c>
      <c r="P85" s="249">
        <v>2.65</v>
      </c>
      <c r="Q85" s="249">
        <v>0</v>
      </c>
      <c r="R85" s="249">
        <v>0</v>
      </c>
      <c r="S85" s="249">
        <v>0.125</v>
      </c>
      <c r="T85" s="249">
        <v>278.94</v>
      </c>
      <c r="U85" s="249">
        <v>2.5999999999999999E-3</v>
      </c>
      <c r="V85" s="249">
        <v>5.8</v>
      </c>
      <c r="W85" s="249">
        <v>1.1964999999999999</v>
      </c>
      <c r="X85" s="249">
        <v>2669.89</v>
      </c>
      <c r="Y85" s="249">
        <v>4901.34</v>
      </c>
    </row>
    <row r="86" spans="1:25" ht="12" customHeight="1">
      <c r="A86" s="248" t="s">
        <v>715</v>
      </c>
      <c r="B86" s="248" t="s">
        <v>716</v>
      </c>
      <c r="C86" s="248" t="s">
        <v>573</v>
      </c>
      <c r="D86" s="249">
        <v>1744.28</v>
      </c>
      <c r="E86" s="249">
        <v>0.7853</v>
      </c>
      <c r="F86" s="249">
        <v>1369.78</v>
      </c>
      <c r="G86" s="249">
        <v>0.30819999999999997</v>
      </c>
      <c r="H86" s="249">
        <v>537.62</v>
      </c>
      <c r="I86" s="249">
        <v>2.06E-2</v>
      </c>
      <c r="J86" s="249">
        <v>35.96</v>
      </c>
      <c r="K86" s="249">
        <v>0</v>
      </c>
      <c r="L86" s="249">
        <v>0</v>
      </c>
      <c r="M86" s="249">
        <v>6.5600000000000006E-2</v>
      </c>
      <c r="N86" s="249">
        <v>114.38</v>
      </c>
      <c r="O86" s="249">
        <v>2.0999999999999999E-3</v>
      </c>
      <c r="P86" s="249">
        <v>3.64</v>
      </c>
      <c r="Q86" s="249">
        <v>0</v>
      </c>
      <c r="R86" s="249">
        <v>0</v>
      </c>
      <c r="S86" s="249">
        <v>0.15989999999999999</v>
      </c>
      <c r="T86" s="249">
        <v>278.94</v>
      </c>
      <c r="U86" s="249">
        <v>3.3E-3</v>
      </c>
      <c r="V86" s="249">
        <v>5.8</v>
      </c>
      <c r="W86" s="249">
        <v>1.345</v>
      </c>
      <c r="X86" s="249">
        <v>2346.13</v>
      </c>
      <c r="Y86" s="249">
        <v>4090.4</v>
      </c>
    </row>
    <row r="87" spans="1:25" ht="12" customHeight="1">
      <c r="A87" s="248" t="s">
        <v>717</v>
      </c>
      <c r="B87" s="248" t="s">
        <v>718</v>
      </c>
      <c r="C87" s="248" t="s">
        <v>573</v>
      </c>
      <c r="D87" s="249">
        <v>2436.42</v>
      </c>
      <c r="E87" s="249">
        <v>0.78879999999999995</v>
      </c>
      <c r="F87" s="249">
        <v>1921.85</v>
      </c>
      <c r="G87" s="249">
        <v>0.22070000000000001</v>
      </c>
      <c r="H87" s="249">
        <v>537.62</v>
      </c>
      <c r="I87" s="249">
        <v>1.4800000000000001E-2</v>
      </c>
      <c r="J87" s="249">
        <v>35.96</v>
      </c>
      <c r="K87" s="249">
        <v>0</v>
      </c>
      <c r="L87" s="249">
        <v>0</v>
      </c>
      <c r="M87" s="249">
        <v>2.9899999999999999E-2</v>
      </c>
      <c r="N87" s="249">
        <v>72.849999999999994</v>
      </c>
      <c r="O87" s="249">
        <v>1.6999999999999999E-3</v>
      </c>
      <c r="P87" s="249">
        <v>4.05</v>
      </c>
      <c r="Q87" s="249">
        <v>0</v>
      </c>
      <c r="R87" s="249">
        <v>0</v>
      </c>
      <c r="S87" s="249">
        <v>0.1145</v>
      </c>
      <c r="T87" s="249">
        <v>278.94</v>
      </c>
      <c r="U87" s="249">
        <v>2.3999999999999998E-3</v>
      </c>
      <c r="V87" s="249">
        <v>5.8</v>
      </c>
      <c r="W87" s="249">
        <v>1.1727000000000001</v>
      </c>
      <c r="X87" s="249">
        <v>2857.07</v>
      </c>
      <c r="Y87" s="249">
        <v>5293.49</v>
      </c>
    </row>
    <row r="88" spans="1:25" ht="12" customHeight="1">
      <c r="A88" s="251" t="s">
        <v>719</v>
      </c>
      <c r="B88" s="251" t="s">
        <v>720</v>
      </c>
      <c r="C88" s="248" t="s">
        <v>573</v>
      </c>
      <c r="D88" s="249">
        <v>2910.5</v>
      </c>
      <c r="E88" s="249">
        <v>0.78559999999999997</v>
      </c>
      <c r="F88" s="249">
        <v>2286.4899999999998</v>
      </c>
      <c r="G88" s="249">
        <v>0.1847</v>
      </c>
      <c r="H88" s="249">
        <v>537.62</v>
      </c>
      <c r="I88" s="249">
        <v>1.24E-2</v>
      </c>
      <c r="J88" s="249">
        <v>35.96</v>
      </c>
      <c r="K88" s="249">
        <v>0</v>
      </c>
      <c r="L88" s="249">
        <v>0</v>
      </c>
      <c r="M88" s="249">
        <v>1.5299999999999999E-2</v>
      </c>
      <c r="N88" s="249">
        <v>44.4</v>
      </c>
      <c r="O88" s="249">
        <v>1.2999999999999999E-3</v>
      </c>
      <c r="P88" s="249">
        <v>3.78</v>
      </c>
      <c r="Q88" s="249">
        <v>0</v>
      </c>
      <c r="R88" s="249">
        <v>0</v>
      </c>
      <c r="S88" s="249">
        <v>9.5799999999999996E-2</v>
      </c>
      <c r="T88" s="249">
        <v>278.94</v>
      </c>
      <c r="U88" s="249">
        <v>2E-3</v>
      </c>
      <c r="V88" s="249">
        <v>5.8</v>
      </c>
      <c r="W88" s="249">
        <v>1.0971</v>
      </c>
      <c r="X88" s="249">
        <v>3193</v>
      </c>
      <c r="Y88" s="249">
        <v>6103.5</v>
      </c>
    </row>
    <row r="89" spans="1:25" ht="12" customHeight="1">
      <c r="A89" s="248" t="s">
        <v>721</v>
      </c>
      <c r="B89" s="248" t="s">
        <v>722</v>
      </c>
      <c r="C89" s="248" t="s">
        <v>573</v>
      </c>
      <c r="D89" s="249">
        <v>3902.47</v>
      </c>
      <c r="E89" s="249">
        <v>0.78979999999999995</v>
      </c>
      <c r="F89" s="249">
        <v>3082.17</v>
      </c>
      <c r="G89" s="249">
        <v>0.13780000000000001</v>
      </c>
      <c r="H89" s="249">
        <v>537.62</v>
      </c>
      <c r="I89" s="249">
        <v>9.1999999999999998E-3</v>
      </c>
      <c r="J89" s="249">
        <v>35.96</v>
      </c>
      <c r="K89" s="249">
        <v>0</v>
      </c>
      <c r="L89" s="249">
        <v>0</v>
      </c>
      <c r="M89" s="249">
        <v>0</v>
      </c>
      <c r="N89" s="249">
        <v>0</v>
      </c>
      <c r="O89" s="249">
        <v>1.1000000000000001E-3</v>
      </c>
      <c r="P89" s="249">
        <v>4.17</v>
      </c>
      <c r="Q89" s="249">
        <v>0</v>
      </c>
      <c r="R89" s="249">
        <v>0</v>
      </c>
      <c r="S89" s="249">
        <v>7.1499999999999994E-2</v>
      </c>
      <c r="T89" s="249">
        <v>278.94</v>
      </c>
      <c r="U89" s="249">
        <v>1.5E-3</v>
      </c>
      <c r="V89" s="249">
        <v>5.8</v>
      </c>
      <c r="W89" s="249">
        <v>1.0107999999999999</v>
      </c>
      <c r="X89" s="249">
        <v>3944.66</v>
      </c>
      <c r="Y89" s="249">
        <v>7847.13</v>
      </c>
    </row>
    <row r="90" spans="1:25" ht="12" customHeight="1">
      <c r="A90" s="248" t="s">
        <v>723</v>
      </c>
      <c r="B90" s="248" t="s">
        <v>724</v>
      </c>
      <c r="C90" s="248" t="s">
        <v>573</v>
      </c>
      <c r="D90" s="249">
        <v>2306.35</v>
      </c>
      <c r="E90" s="249">
        <v>0.78449999999999998</v>
      </c>
      <c r="F90" s="249">
        <v>1809.33</v>
      </c>
      <c r="G90" s="249">
        <v>0.2331</v>
      </c>
      <c r="H90" s="249">
        <v>537.62</v>
      </c>
      <c r="I90" s="249">
        <v>1.5599999999999999E-2</v>
      </c>
      <c r="J90" s="249">
        <v>35.96</v>
      </c>
      <c r="K90" s="249">
        <v>0</v>
      </c>
      <c r="L90" s="249">
        <v>0</v>
      </c>
      <c r="M90" s="249">
        <v>3.5000000000000003E-2</v>
      </c>
      <c r="N90" s="249">
        <v>80.650000000000006</v>
      </c>
      <c r="O90" s="249">
        <v>1.5E-3</v>
      </c>
      <c r="P90" s="249">
        <v>3.51</v>
      </c>
      <c r="Q90" s="249">
        <v>0</v>
      </c>
      <c r="R90" s="249">
        <v>0</v>
      </c>
      <c r="S90" s="249">
        <v>0.12089999999999999</v>
      </c>
      <c r="T90" s="249">
        <v>278.94</v>
      </c>
      <c r="U90" s="249">
        <v>2.5000000000000001E-3</v>
      </c>
      <c r="V90" s="249">
        <v>5.8</v>
      </c>
      <c r="W90" s="249">
        <v>1.1932</v>
      </c>
      <c r="X90" s="249">
        <v>2751.82</v>
      </c>
      <c r="Y90" s="249">
        <v>5058.18</v>
      </c>
    </row>
    <row r="91" spans="1:25" ht="12" customHeight="1">
      <c r="A91" s="248" t="s">
        <v>725</v>
      </c>
      <c r="B91" s="248" t="s">
        <v>726</v>
      </c>
      <c r="C91" s="248" t="s">
        <v>573</v>
      </c>
      <c r="D91" s="249">
        <v>2945.92</v>
      </c>
      <c r="E91" s="249">
        <v>0.78779999999999994</v>
      </c>
      <c r="F91" s="249">
        <v>2320.8000000000002</v>
      </c>
      <c r="G91" s="249">
        <v>0.1825</v>
      </c>
      <c r="H91" s="249">
        <v>537.62</v>
      </c>
      <c r="I91" s="249">
        <v>0</v>
      </c>
      <c r="J91" s="249">
        <v>0</v>
      </c>
      <c r="K91" s="249">
        <v>0</v>
      </c>
      <c r="L91" s="249">
        <v>0</v>
      </c>
      <c r="M91" s="249">
        <v>1.44E-2</v>
      </c>
      <c r="N91" s="249">
        <v>42.28</v>
      </c>
      <c r="O91" s="249">
        <v>1.5E-3</v>
      </c>
      <c r="P91" s="249">
        <v>4.38</v>
      </c>
      <c r="Q91" s="249">
        <v>0</v>
      </c>
      <c r="R91" s="249">
        <v>0</v>
      </c>
      <c r="S91" s="249">
        <v>9.4700000000000006E-2</v>
      </c>
      <c r="T91" s="249">
        <v>278.94</v>
      </c>
      <c r="U91" s="249">
        <v>2E-3</v>
      </c>
      <c r="V91" s="249">
        <v>5.8</v>
      </c>
      <c r="W91" s="249">
        <v>1.0828</v>
      </c>
      <c r="X91" s="249">
        <v>3189.82</v>
      </c>
      <c r="Y91" s="249">
        <v>6135.74</v>
      </c>
    </row>
    <row r="92" spans="1:25" ht="12" customHeight="1">
      <c r="A92" s="248" t="s">
        <v>727</v>
      </c>
      <c r="B92" s="248" t="s">
        <v>728</v>
      </c>
      <c r="C92" s="248" t="s">
        <v>573</v>
      </c>
      <c r="D92" s="249">
        <v>2188.38</v>
      </c>
      <c r="E92" s="249">
        <v>0.78769999999999996</v>
      </c>
      <c r="F92" s="249">
        <v>1723.78</v>
      </c>
      <c r="G92" s="249">
        <v>0.2457</v>
      </c>
      <c r="H92" s="249">
        <v>537.62</v>
      </c>
      <c r="I92" s="249">
        <v>1.6400000000000001E-2</v>
      </c>
      <c r="J92" s="249">
        <v>35.96</v>
      </c>
      <c r="K92" s="249">
        <v>0</v>
      </c>
      <c r="L92" s="249">
        <v>0</v>
      </c>
      <c r="M92" s="249">
        <v>4.0099999999999997E-2</v>
      </c>
      <c r="N92" s="249">
        <v>87.73</v>
      </c>
      <c r="O92" s="249">
        <v>1.9E-3</v>
      </c>
      <c r="P92" s="249">
        <v>4.09</v>
      </c>
      <c r="Q92" s="249">
        <v>0</v>
      </c>
      <c r="R92" s="249">
        <v>0</v>
      </c>
      <c r="S92" s="249">
        <v>0.1275</v>
      </c>
      <c r="T92" s="249">
        <v>278.94</v>
      </c>
      <c r="U92" s="249">
        <v>2.7000000000000001E-3</v>
      </c>
      <c r="V92" s="249">
        <v>5.8</v>
      </c>
      <c r="W92" s="249">
        <v>1.2219</v>
      </c>
      <c r="X92" s="249">
        <v>2673.93</v>
      </c>
      <c r="Y92" s="249">
        <v>4862.3</v>
      </c>
    </row>
    <row r="93" spans="1:25" ht="12" customHeight="1">
      <c r="A93" s="248" t="s">
        <v>729</v>
      </c>
      <c r="B93" s="248" t="s">
        <v>730</v>
      </c>
      <c r="C93" s="248" t="s">
        <v>573</v>
      </c>
      <c r="D93" s="249">
        <v>1949.25</v>
      </c>
      <c r="E93" s="249">
        <v>0.80200000000000005</v>
      </c>
      <c r="F93" s="249">
        <v>1563.3</v>
      </c>
      <c r="G93" s="249">
        <v>0.27579999999999999</v>
      </c>
      <c r="H93" s="249">
        <v>537.62</v>
      </c>
      <c r="I93" s="249">
        <v>1.6500000000000001E-2</v>
      </c>
      <c r="J93" s="249">
        <v>32.08</v>
      </c>
      <c r="K93" s="249">
        <v>0</v>
      </c>
      <c r="L93" s="249">
        <v>0</v>
      </c>
      <c r="M93" s="249">
        <v>5.2400000000000002E-2</v>
      </c>
      <c r="N93" s="249">
        <v>102.08</v>
      </c>
      <c r="O93" s="249">
        <v>1.6000000000000001E-3</v>
      </c>
      <c r="P93" s="249">
        <v>3.09</v>
      </c>
      <c r="Q93" s="249">
        <v>0</v>
      </c>
      <c r="R93" s="249">
        <v>0</v>
      </c>
      <c r="S93" s="249">
        <v>0.1431</v>
      </c>
      <c r="T93" s="249">
        <v>278.94</v>
      </c>
      <c r="U93" s="249">
        <v>3.0000000000000001E-3</v>
      </c>
      <c r="V93" s="249">
        <v>5.8</v>
      </c>
      <c r="W93" s="249">
        <v>1.2943</v>
      </c>
      <c r="X93" s="249">
        <v>2522.9</v>
      </c>
      <c r="Y93" s="249">
        <v>4472.1499999999996</v>
      </c>
    </row>
    <row r="94" spans="1:25" ht="12" customHeight="1">
      <c r="A94" s="248" t="s">
        <v>731</v>
      </c>
      <c r="B94" s="248" t="s">
        <v>732</v>
      </c>
      <c r="C94" s="248" t="s">
        <v>573</v>
      </c>
      <c r="D94" s="249">
        <v>2598.9899999999998</v>
      </c>
      <c r="E94" s="249">
        <v>0.80200000000000005</v>
      </c>
      <c r="F94" s="249">
        <v>2084.39</v>
      </c>
      <c r="G94" s="249">
        <v>0.2069</v>
      </c>
      <c r="H94" s="249">
        <v>537.62</v>
      </c>
      <c r="I94" s="249">
        <v>1.23E-2</v>
      </c>
      <c r="J94" s="249">
        <v>32.08</v>
      </c>
      <c r="K94" s="249">
        <v>0</v>
      </c>
      <c r="L94" s="249">
        <v>0</v>
      </c>
      <c r="M94" s="249">
        <v>2.4299999999999999E-2</v>
      </c>
      <c r="N94" s="249">
        <v>63.09</v>
      </c>
      <c r="O94" s="249">
        <v>1.1999999999999999E-3</v>
      </c>
      <c r="P94" s="249">
        <v>3.09</v>
      </c>
      <c r="Q94" s="249">
        <v>0</v>
      </c>
      <c r="R94" s="249">
        <v>0</v>
      </c>
      <c r="S94" s="249">
        <v>0.10730000000000001</v>
      </c>
      <c r="T94" s="249">
        <v>278.94</v>
      </c>
      <c r="U94" s="249">
        <v>2.2000000000000001E-3</v>
      </c>
      <c r="V94" s="249">
        <v>5.8</v>
      </c>
      <c r="W94" s="249">
        <v>1.1561999999999999</v>
      </c>
      <c r="X94" s="249">
        <v>3005.01</v>
      </c>
      <c r="Y94" s="249">
        <v>5604.01</v>
      </c>
    </row>
    <row r="95" spans="1:25" ht="12" customHeight="1">
      <c r="A95" s="248" t="s">
        <v>733</v>
      </c>
      <c r="B95" s="248" t="s">
        <v>734</v>
      </c>
      <c r="C95" s="248" t="s">
        <v>573</v>
      </c>
      <c r="D95" s="249">
        <v>4345.34</v>
      </c>
      <c r="E95" s="249">
        <v>0.80200000000000005</v>
      </c>
      <c r="F95" s="249">
        <v>3484.96</v>
      </c>
      <c r="G95" s="249">
        <v>0.1237</v>
      </c>
      <c r="H95" s="249">
        <v>537.62</v>
      </c>
      <c r="I95" s="249">
        <v>7.4000000000000003E-3</v>
      </c>
      <c r="J95" s="249">
        <v>32.08</v>
      </c>
      <c r="K95" s="249">
        <v>0</v>
      </c>
      <c r="L95" s="249">
        <v>0</v>
      </c>
      <c r="M95" s="249">
        <v>0</v>
      </c>
      <c r="N95" s="249">
        <v>0</v>
      </c>
      <c r="O95" s="249">
        <v>6.9999999999999999E-4</v>
      </c>
      <c r="P95" s="249">
        <v>3.09</v>
      </c>
      <c r="Q95" s="249">
        <v>0</v>
      </c>
      <c r="R95" s="249">
        <v>0</v>
      </c>
      <c r="S95" s="249">
        <v>6.4199999999999993E-2</v>
      </c>
      <c r="T95" s="249">
        <v>278.94</v>
      </c>
      <c r="U95" s="249">
        <v>1.2999999999999999E-3</v>
      </c>
      <c r="V95" s="249">
        <v>5.8</v>
      </c>
      <c r="W95" s="249">
        <v>0.99929999999999997</v>
      </c>
      <c r="X95" s="249">
        <v>4342.49</v>
      </c>
      <c r="Y95" s="249">
        <v>8687.83</v>
      </c>
    </row>
    <row r="96" spans="1:25" ht="12" customHeight="1">
      <c r="A96" s="248" t="s">
        <v>735</v>
      </c>
      <c r="B96" s="248" t="s">
        <v>736</v>
      </c>
      <c r="C96" s="248" t="s">
        <v>573</v>
      </c>
      <c r="D96" s="249">
        <v>3537.38</v>
      </c>
      <c r="E96" s="249">
        <v>0.80149999999999999</v>
      </c>
      <c r="F96" s="249">
        <v>2835.21</v>
      </c>
      <c r="G96" s="249">
        <v>0.152</v>
      </c>
      <c r="H96" s="249">
        <v>537.62</v>
      </c>
      <c r="I96" s="249">
        <v>1.0999999999999999E-2</v>
      </c>
      <c r="J96" s="249">
        <v>39.049999999999997</v>
      </c>
      <c r="K96" s="249">
        <v>0</v>
      </c>
      <c r="L96" s="249">
        <v>0</v>
      </c>
      <c r="M96" s="249">
        <v>1.9E-3</v>
      </c>
      <c r="N96" s="249">
        <v>6.79</v>
      </c>
      <c r="O96" s="249">
        <v>8.9999999999999998E-4</v>
      </c>
      <c r="P96" s="249">
        <v>3.3</v>
      </c>
      <c r="Q96" s="249">
        <v>0</v>
      </c>
      <c r="R96" s="249">
        <v>0</v>
      </c>
      <c r="S96" s="249">
        <v>7.8899999999999998E-2</v>
      </c>
      <c r="T96" s="249">
        <v>278.94</v>
      </c>
      <c r="U96" s="249">
        <v>1.6000000000000001E-3</v>
      </c>
      <c r="V96" s="249">
        <v>5.8</v>
      </c>
      <c r="W96" s="249">
        <v>1.0479000000000001</v>
      </c>
      <c r="X96" s="249">
        <v>3706.71</v>
      </c>
      <c r="Y96" s="249">
        <v>7244.09</v>
      </c>
    </row>
    <row r="97" spans="1:25" ht="12" customHeight="1">
      <c r="A97" s="248" t="s">
        <v>737</v>
      </c>
      <c r="B97" s="248" t="s">
        <v>738</v>
      </c>
      <c r="C97" s="248" t="s">
        <v>573</v>
      </c>
      <c r="D97" s="249">
        <v>3836.5</v>
      </c>
      <c r="E97" s="249">
        <v>0.80149999999999999</v>
      </c>
      <c r="F97" s="249">
        <v>3074.95</v>
      </c>
      <c r="G97" s="249">
        <v>0.1401</v>
      </c>
      <c r="H97" s="249">
        <v>537.62</v>
      </c>
      <c r="I97" s="249">
        <v>1.0200000000000001E-2</v>
      </c>
      <c r="J97" s="249">
        <v>39.049999999999997</v>
      </c>
      <c r="K97" s="249">
        <v>0</v>
      </c>
      <c r="L97" s="249">
        <v>0</v>
      </c>
      <c r="M97" s="249">
        <v>0</v>
      </c>
      <c r="N97" s="249">
        <v>0</v>
      </c>
      <c r="O97" s="249">
        <v>8.9999999999999998E-4</v>
      </c>
      <c r="P97" s="249">
        <v>3.3</v>
      </c>
      <c r="Q97" s="249">
        <v>0</v>
      </c>
      <c r="R97" s="249">
        <v>0</v>
      </c>
      <c r="S97" s="249">
        <v>7.2700000000000001E-2</v>
      </c>
      <c r="T97" s="249">
        <v>278.94</v>
      </c>
      <c r="U97" s="249">
        <v>1.5E-3</v>
      </c>
      <c r="V97" s="249">
        <v>5.8</v>
      </c>
      <c r="W97" s="249">
        <v>1.0268999999999999</v>
      </c>
      <c r="X97" s="249">
        <v>3939.67</v>
      </c>
      <c r="Y97" s="249">
        <v>7776.16</v>
      </c>
    </row>
    <row r="98" spans="1:25" ht="12" customHeight="1">
      <c r="A98" s="248" t="s">
        <v>739</v>
      </c>
      <c r="B98" s="248" t="s">
        <v>740</v>
      </c>
      <c r="C98" s="248" t="s">
        <v>573</v>
      </c>
      <c r="D98" s="249">
        <v>6332.86</v>
      </c>
      <c r="E98" s="249">
        <v>0.80149999999999999</v>
      </c>
      <c r="F98" s="249">
        <v>5075.79</v>
      </c>
      <c r="G98" s="249">
        <v>8.4900000000000003E-2</v>
      </c>
      <c r="H98" s="249">
        <v>537.62</v>
      </c>
      <c r="I98" s="249">
        <v>6.1999999999999998E-3</v>
      </c>
      <c r="J98" s="249">
        <v>39.049999999999997</v>
      </c>
      <c r="K98" s="249">
        <v>0</v>
      </c>
      <c r="L98" s="249">
        <v>0</v>
      </c>
      <c r="M98" s="249">
        <v>0</v>
      </c>
      <c r="N98" s="249">
        <v>0</v>
      </c>
      <c r="O98" s="249">
        <v>5.0000000000000001E-4</v>
      </c>
      <c r="P98" s="249">
        <v>3.3</v>
      </c>
      <c r="Q98" s="249">
        <v>0</v>
      </c>
      <c r="R98" s="249">
        <v>0</v>
      </c>
      <c r="S98" s="249">
        <v>4.3999999999999997E-2</v>
      </c>
      <c r="T98" s="249">
        <v>278.94</v>
      </c>
      <c r="U98" s="249">
        <v>8.9999999999999998E-4</v>
      </c>
      <c r="V98" s="249">
        <v>5.8</v>
      </c>
      <c r="W98" s="249">
        <v>0.93799999999999994</v>
      </c>
      <c r="X98" s="249">
        <v>5940.5</v>
      </c>
      <c r="Y98" s="249">
        <v>12273.36</v>
      </c>
    </row>
    <row r="99" spans="1:25" ht="7.95" customHeight="1">
      <c r="A99" s="250" t="s">
        <v>178</v>
      </c>
    </row>
  </sheetData>
  <mergeCells count="56">
    <mergeCell ref="A2:Y2"/>
    <mergeCell ref="A3:Y3"/>
    <mergeCell ref="W4:X5"/>
    <mergeCell ref="Y4:Y5"/>
    <mergeCell ref="G5:H5"/>
    <mergeCell ref="I5:J5"/>
    <mergeCell ref="K5:L5"/>
    <mergeCell ref="M5:N5"/>
    <mergeCell ref="O5:P5"/>
    <mergeCell ref="Q5:R5"/>
    <mergeCell ref="S5:T5"/>
    <mergeCell ref="U5:V5"/>
    <mergeCell ref="D4:D5"/>
    <mergeCell ref="E4:E5"/>
    <mergeCell ref="F4:F5"/>
    <mergeCell ref="F35:F37"/>
    <mergeCell ref="G35:P35"/>
    <mergeCell ref="Q35:V35"/>
    <mergeCell ref="A4:A6"/>
    <mergeCell ref="B4:B6"/>
    <mergeCell ref="C4:C6"/>
    <mergeCell ref="A35:A37"/>
    <mergeCell ref="B35:B37"/>
    <mergeCell ref="C35:C37"/>
    <mergeCell ref="D35:D37"/>
    <mergeCell ref="E35:E37"/>
    <mergeCell ref="G4:P4"/>
    <mergeCell ref="Q4:V4"/>
    <mergeCell ref="F69:F71"/>
    <mergeCell ref="W35:X36"/>
    <mergeCell ref="Y35:Y36"/>
    <mergeCell ref="G36:H36"/>
    <mergeCell ref="I36:J36"/>
    <mergeCell ref="K36:L36"/>
    <mergeCell ref="M36:N36"/>
    <mergeCell ref="O36:P36"/>
    <mergeCell ref="Q36:R36"/>
    <mergeCell ref="S36:T36"/>
    <mergeCell ref="U36:V36"/>
    <mergeCell ref="Y69:Y70"/>
    <mergeCell ref="G70:H70"/>
    <mergeCell ref="I70:J70"/>
    <mergeCell ref="K70:L70"/>
    <mergeCell ref="M70:N70"/>
    <mergeCell ref="A69:A71"/>
    <mergeCell ref="B69:B71"/>
    <mergeCell ref="C69:C71"/>
    <mergeCell ref="D69:D71"/>
    <mergeCell ref="E69:E71"/>
    <mergeCell ref="W69:X70"/>
    <mergeCell ref="O70:P70"/>
    <mergeCell ref="Q70:R70"/>
    <mergeCell ref="S70:T70"/>
    <mergeCell ref="U70:V70"/>
    <mergeCell ref="G69:P69"/>
    <mergeCell ref="Q69:V69"/>
  </mergeCells>
  <phoneticPr fontId="5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9B02B-1FC4-4A18-BEC8-32C5A5E5CD64}">
  <dimension ref="A1:I37"/>
  <sheetViews>
    <sheetView workbookViewId="0">
      <selection activeCell="N13" sqref="N13"/>
    </sheetView>
  </sheetViews>
  <sheetFormatPr defaultRowHeight="13.2"/>
  <cols>
    <col min="1" max="1" width="9.33203125" style="247" customWidth="1"/>
    <col min="2" max="2" width="3.33203125" style="247" customWidth="1"/>
    <col min="3" max="3" width="10.44140625" style="247" customWidth="1"/>
    <col min="4" max="4" width="1.109375" style="247" customWidth="1"/>
    <col min="5" max="5" width="3.33203125" style="247" customWidth="1"/>
    <col min="6" max="6" width="43.109375" style="247" customWidth="1"/>
    <col min="7" max="7" width="7.44140625" style="247" customWidth="1"/>
    <col min="8" max="8" width="8.5546875" style="247" bestFit="1" customWidth="1"/>
    <col min="9" max="9" width="11.88671875" style="247" bestFit="1" customWidth="1"/>
    <col min="10" max="11" width="9" style="247" customWidth="1"/>
    <col min="12" max="16384" width="8.88671875" style="247"/>
  </cols>
  <sheetData>
    <row r="1" spans="1:9" ht="16.95" customHeight="1">
      <c r="A1" s="651" t="s">
        <v>179</v>
      </c>
      <c r="B1" s="651"/>
      <c r="C1" s="651"/>
      <c r="D1" s="651"/>
      <c r="E1" s="651"/>
      <c r="F1" s="651"/>
      <c r="G1" s="651"/>
      <c r="H1" s="651"/>
      <c r="I1" s="651"/>
    </row>
    <row r="2" spans="1:9" ht="13.95" customHeight="1">
      <c r="A2" s="652" t="s">
        <v>747</v>
      </c>
      <c r="B2" s="652"/>
      <c r="C2" s="652"/>
      <c r="D2" s="652"/>
      <c r="E2" s="652"/>
      <c r="F2" s="652"/>
      <c r="G2" s="652"/>
      <c r="H2" s="652"/>
      <c r="I2" s="652"/>
    </row>
    <row r="3" spans="1:9" ht="22.95" customHeight="1">
      <c r="A3" s="610" t="s">
        <v>180</v>
      </c>
      <c r="B3" s="612" t="s">
        <v>181</v>
      </c>
      <c r="C3" s="610"/>
      <c r="D3" s="612" t="s">
        <v>182</v>
      </c>
      <c r="E3" s="614"/>
      <c r="F3" s="610"/>
      <c r="G3" s="610"/>
      <c r="H3" s="616" t="s">
        <v>184</v>
      </c>
      <c r="I3" s="617"/>
    </row>
    <row r="4" spans="1:9" ht="22.05" customHeight="1">
      <c r="A4" s="611"/>
      <c r="B4" s="613"/>
      <c r="C4" s="611"/>
      <c r="D4" s="613"/>
      <c r="E4" s="615"/>
      <c r="F4" s="611"/>
      <c r="G4" s="611"/>
      <c r="H4" s="469" t="s">
        <v>185</v>
      </c>
      <c r="I4" s="477" t="s">
        <v>441</v>
      </c>
    </row>
    <row r="5" spans="1:9" ht="22.05" customHeight="1">
      <c r="A5" s="622" t="s">
        <v>186</v>
      </c>
      <c r="B5" s="620" t="s">
        <v>243</v>
      </c>
      <c r="C5" s="619"/>
      <c r="D5" s="620" t="s">
        <v>294</v>
      </c>
      <c r="E5" s="625"/>
      <c r="F5" s="626"/>
      <c r="G5" s="470" t="s">
        <v>107</v>
      </c>
      <c r="H5" s="478">
        <v>32.06</v>
      </c>
      <c r="I5" s="478">
        <v>5.0199999999999996</v>
      </c>
    </row>
    <row r="6" spans="1:9" ht="22.05" customHeight="1">
      <c r="A6" s="623"/>
      <c r="B6" s="620" t="s">
        <v>244</v>
      </c>
      <c r="C6" s="619"/>
      <c r="D6" s="620" t="s">
        <v>295</v>
      </c>
      <c r="E6" s="625"/>
      <c r="F6" s="626"/>
      <c r="G6" s="470" t="s">
        <v>107</v>
      </c>
      <c r="H6" s="478">
        <v>65.03</v>
      </c>
      <c r="I6" s="478">
        <v>20.84</v>
      </c>
    </row>
    <row r="7" spans="1:9" ht="22.05" customHeight="1">
      <c r="A7" s="624"/>
      <c r="B7" s="618" t="s">
        <v>187</v>
      </c>
      <c r="C7" s="619"/>
      <c r="D7" s="620" t="s">
        <v>296</v>
      </c>
      <c r="E7" s="621"/>
      <c r="F7" s="619"/>
      <c r="G7" s="470" t="s">
        <v>107</v>
      </c>
      <c r="H7" s="478">
        <v>62.19</v>
      </c>
      <c r="I7" s="478">
        <v>35.520000000000003</v>
      </c>
    </row>
    <row r="8" spans="1:9" ht="14.4" customHeight="1">
      <c r="A8" s="648"/>
      <c r="B8" s="648"/>
      <c r="C8" s="648"/>
      <c r="D8" s="648"/>
      <c r="E8" s="648"/>
      <c r="F8" s="648"/>
      <c r="G8" s="648"/>
      <c r="H8" s="648"/>
      <c r="I8" s="648"/>
    </row>
    <row r="9" spans="1:9" ht="46.05" customHeight="1">
      <c r="A9" s="629" t="s">
        <v>180</v>
      </c>
      <c r="B9" s="617"/>
      <c r="C9" s="616" t="s">
        <v>181</v>
      </c>
      <c r="D9" s="629"/>
      <c r="E9" s="617"/>
      <c r="F9" s="382" t="s">
        <v>182</v>
      </c>
      <c r="G9" s="616" t="s">
        <v>183</v>
      </c>
      <c r="H9" s="629"/>
      <c r="I9" s="469" t="s">
        <v>184</v>
      </c>
    </row>
    <row r="10" spans="1:9" ht="22.05" customHeight="1">
      <c r="A10" s="627" t="s">
        <v>188</v>
      </c>
      <c r="B10" s="622"/>
      <c r="C10" s="620" t="s">
        <v>246</v>
      </c>
      <c r="D10" s="621"/>
      <c r="E10" s="619"/>
      <c r="F10" s="384" t="s">
        <v>475</v>
      </c>
      <c r="G10" s="618" t="s">
        <v>189</v>
      </c>
      <c r="H10" s="621"/>
      <c r="I10" s="478">
        <v>40.049999999999997</v>
      </c>
    </row>
    <row r="11" spans="1:9" ht="22.05" customHeight="1">
      <c r="A11" s="628"/>
      <c r="B11" s="624"/>
      <c r="C11" s="618" t="s">
        <v>190</v>
      </c>
      <c r="D11" s="621"/>
      <c r="E11" s="619"/>
      <c r="F11" s="396" t="s">
        <v>476</v>
      </c>
      <c r="G11" s="618" t="s">
        <v>189</v>
      </c>
      <c r="H11" s="621"/>
      <c r="I11" s="478">
        <v>26.19</v>
      </c>
    </row>
    <row r="12" spans="1:9" ht="22.05" customHeight="1">
      <c r="A12" s="627" t="s">
        <v>191</v>
      </c>
      <c r="B12" s="622"/>
      <c r="C12" s="620" t="s">
        <v>248</v>
      </c>
      <c r="D12" s="621"/>
      <c r="E12" s="619"/>
      <c r="F12" s="384" t="s">
        <v>247</v>
      </c>
      <c r="G12" s="618" t="s">
        <v>192</v>
      </c>
      <c r="H12" s="621"/>
      <c r="I12" s="478">
        <v>529.1</v>
      </c>
    </row>
    <row r="13" spans="1:9" ht="22.05" customHeight="1">
      <c r="A13" s="628"/>
      <c r="B13" s="624"/>
      <c r="C13" s="618" t="s">
        <v>193</v>
      </c>
      <c r="D13" s="621"/>
      <c r="E13" s="619"/>
      <c r="F13" s="385" t="s">
        <v>194</v>
      </c>
      <c r="G13" s="618" t="s">
        <v>192</v>
      </c>
      <c r="H13" s="621"/>
      <c r="I13" s="478">
        <v>35.86</v>
      </c>
    </row>
    <row r="14" spans="1:9" ht="22.05" customHeight="1">
      <c r="A14" s="627" t="s">
        <v>195</v>
      </c>
      <c r="B14" s="622"/>
      <c r="C14" s="618" t="s">
        <v>196</v>
      </c>
      <c r="D14" s="621"/>
      <c r="E14" s="619"/>
      <c r="F14" s="385" t="s">
        <v>197</v>
      </c>
      <c r="G14" s="618" t="s">
        <v>198</v>
      </c>
      <c r="H14" s="621"/>
      <c r="I14" s="479">
        <v>5592.36</v>
      </c>
    </row>
    <row r="15" spans="1:9" ht="22.05" customHeight="1">
      <c r="A15" s="630"/>
      <c r="B15" s="623"/>
      <c r="C15" s="618" t="s">
        <v>199</v>
      </c>
      <c r="D15" s="621"/>
      <c r="E15" s="619"/>
      <c r="F15" s="385" t="s">
        <v>200</v>
      </c>
      <c r="G15" s="618" t="s">
        <v>198</v>
      </c>
      <c r="H15" s="621"/>
      <c r="I15" s="479">
        <v>3705.74</v>
      </c>
    </row>
    <row r="16" spans="1:9" ht="22.05" customHeight="1">
      <c r="A16" s="630"/>
      <c r="B16" s="623"/>
      <c r="C16" s="618" t="s">
        <v>201</v>
      </c>
      <c r="D16" s="621"/>
      <c r="E16" s="619"/>
      <c r="F16" s="385" t="s">
        <v>202</v>
      </c>
      <c r="G16" s="618" t="s">
        <v>198</v>
      </c>
      <c r="H16" s="621"/>
      <c r="I16" s="479">
        <v>4126.54</v>
      </c>
    </row>
    <row r="17" spans="1:9" ht="22.05" customHeight="1">
      <c r="A17" s="628"/>
      <c r="B17" s="624"/>
      <c r="C17" s="618" t="s">
        <v>203</v>
      </c>
      <c r="D17" s="621"/>
      <c r="E17" s="619"/>
      <c r="F17" s="385" t="s">
        <v>204</v>
      </c>
      <c r="G17" s="618" t="s">
        <v>198</v>
      </c>
      <c r="H17" s="621"/>
      <c r="I17" s="479">
        <v>2675.58</v>
      </c>
    </row>
    <row r="18" spans="1:9" ht="22.05" customHeight="1">
      <c r="A18" s="627" t="s">
        <v>205</v>
      </c>
      <c r="B18" s="622"/>
      <c r="C18" s="620" t="s">
        <v>250</v>
      </c>
      <c r="D18" s="621"/>
      <c r="E18" s="619"/>
      <c r="F18" s="384" t="s">
        <v>247</v>
      </c>
      <c r="G18" s="620" t="s">
        <v>253</v>
      </c>
      <c r="H18" s="621"/>
      <c r="I18" s="478">
        <v>124.5</v>
      </c>
    </row>
    <row r="19" spans="1:9" ht="22.05" customHeight="1">
      <c r="A19" s="628"/>
      <c r="B19" s="624"/>
      <c r="C19" s="618" t="s">
        <v>206</v>
      </c>
      <c r="D19" s="621"/>
      <c r="E19" s="619"/>
      <c r="F19" s="385" t="s">
        <v>194</v>
      </c>
      <c r="G19" s="618" t="s">
        <v>192</v>
      </c>
      <c r="H19" s="621"/>
      <c r="I19" s="478">
        <v>195.76</v>
      </c>
    </row>
    <row r="20" spans="1:9" ht="13.95" customHeight="1">
      <c r="A20" s="649"/>
      <c r="B20" s="649"/>
      <c r="C20" s="649"/>
      <c r="D20" s="649"/>
      <c r="E20" s="649"/>
      <c r="F20" s="649"/>
      <c r="G20" s="649"/>
      <c r="H20" s="649"/>
      <c r="I20" s="650"/>
    </row>
    <row r="21" spans="1:9" ht="19.95" customHeight="1">
      <c r="A21" s="633" t="s">
        <v>207</v>
      </c>
      <c r="B21" s="633"/>
      <c r="C21" s="633"/>
      <c r="D21" s="633"/>
      <c r="E21" s="633"/>
      <c r="F21" s="633"/>
      <c r="G21" s="633"/>
      <c r="H21" s="633"/>
      <c r="I21" s="633"/>
    </row>
    <row r="22" spans="1:9" ht="19.95" customHeight="1">
      <c r="A22" s="625"/>
      <c r="B22" s="625"/>
      <c r="C22" s="625"/>
      <c r="D22" s="625"/>
      <c r="E22" s="634" t="s">
        <v>208</v>
      </c>
      <c r="F22" s="634"/>
      <c r="G22" s="635" t="s">
        <v>209</v>
      </c>
      <c r="H22" s="636"/>
      <c r="I22" s="390" t="s">
        <v>210</v>
      </c>
    </row>
    <row r="23" spans="1:9" ht="19.95" customHeight="1">
      <c r="A23" s="627" t="s">
        <v>211</v>
      </c>
      <c r="B23" s="627"/>
      <c r="C23" s="627"/>
      <c r="D23" s="627"/>
      <c r="E23" s="627" t="s">
        <v>212</v>
      </c>
      <c r="F23" s="627"/>
      <c r="G23" s="637">
        <v>6.96</v>
      </c>
      <c r="H23" s="638"/>
      <c r="I23" s="472">
        <v>10</v>
      </c>
    </row>
    <row r="24" spans="1:9" ht="19.05" customHeight="1">
      <c r="A24" s="630" t="s">
        <v>213</v>
      </c>
      <c r="B24" s="630"/>
      <c r="C24" s="630"/>
      <c r="D24" s="630"/>
      <c r="E24" s="639" t="s">
        <v>477</v>
      </c>
      <c r="F24" s="630"/>
      <c r="G24" s="631">
        <v>0.56999999999999995</v>
      </c>
      <c r="H24" s="632"/>
      <c r="I24" s="471">
        <v>0.82</v>
      </c>
    </row>
    <row r="25" spans="1:9" ht="19.05" customHeight="1">
      <c r="A25" s="630" t="s">
        <v>214</v>
      </c>
      <c r="B25" s="630"/>
      <c r="C25" s="630"/>
      <c r="D25" s="630"/>
      <c r="E25" s="630" t="s">
        <v>215</v>
      </c>
      <c r="F25" s="630"/>
      <c r="G25" s="631">
        <v>0.5</v>
      </c>
      <c r="H25" s="632"/>
      <c r="I25" s="471">
        <v>0.72</v>
      </c>
    </row>
    <row r="26" spans="1:9" ht="19.95" customHeight="1">
      <c r="A26" s="628" t="s">
        <v>216</v>
      </c>
      <c r="B26" s="628"/>
      <c r="C26" s="628"/>
      <c r="D26" s="628"/>
      <c r="E26" s="628" t="s">
        <v>217</v>
      </c>
      <c r="F26" s="628"/>
      <c r="G26" s="640">
        <v>0.1</v>
      </c>
      <c r="H26" s="641"/>
      <c r="I26" s="473">
        <v>0.14000000000000001</v>
      </c>
    </row>
    <row r="27" spans="1:9" ht="19.95" customHeight="1">
      <c r="A27" s="625"/>
      <c r="B27" s="625"/>
      <c r="C27" s="625"/>
      <c r="D27" s="625"/>
      <c r="E27" s="642" t="s">
        <v>218</v>
      </c>
      <c r="F27" s="642"/>
      <c r="G27" s="643">
        <v>7.94</v>
      </c>
      <c r="H27" s="644"/>
      <c r="I27" s="391">
        <v>11.42</v>
      </c>
    </row>
    <row r="28" spans="1:9" ht="19.95" customHeight="1">
      <c r="A28" s="625"/>
      <c r="B28" s="625"/>
      <c r="C28" s="625"/>
      <c r="D28" s="625"/>
      <c r="E28" s="634" t="s">
        <v>219</v>
      </c>
      <c r="F28" s="634"/>
      <c r="G28" s="635" t="s">
        <v>209</v>
      </c>
      <c r="H28" s="636"/>
      <c r="I28" s="390" t="s">
        <v>210</v>
      </c>
    </row>
    <row r="29" spans="1:9" ht="19.95" customHeight="1">
      <c r="A29" s="621" t="s">
        <v>220</v>
      </c>
      <c r="B29" s="621"/>
      <c r="C29" s="621"/>
      <c r="D29" s="621"/>
      <c r="E29" s="621" t="s">
        <v>212</v>
      </c>
      <c r="F29" s="621"/>
      <c r="G29" s="645">
        <v>8.32</v>
      </c>
      <c r="H29" s="646"/>
      <c r="I29" s="383">
        <v>12</v>
      </c>
    </row>
    <row r="30" spans="1:9" ht="19.95" customHeight="1">
      <c r="A30" s="625"/>
      <c r="B30" s="625"/>
      <c r="C30" s="625"/>
      <c r="D30" s="625"/>
      <c r="E30" s="642" t="s">
        <v>221</v>
      </c>
      <c r="F30" s="642"/>
      <c r="G30" s="643">
        <v>8.35</v>
      </c>
      <c r="H30" s="644"/>
      <c r="I30" s="391">
        <v>12</v>
      </c>
    </row>
    <row r="31" spans="1:9" ht="19.95" customHeight="1">
      <c r="A31" s="625"/>
      <c r="B31" s="625"/>
      <c r="C31" s="625"/>
      <c r="D31" s="625"/>
      <c r="E31" s="634" t="s">
        <v>222</v>
      </c>
      <c r="F31" s="634"/>
      <c r="G31" s="635" t="s">
        <v>209</v>
      </c>
      <c r="H31" s="636"/>
      <c r="I31" s="390" t="s">
        <v>210</v>
      </c>
    </row>
    <row r="32" spans="1:9" ht="19.95" customHeight="1">
      <c r="A32" s="627" t="s">
        <v>223</v>
      </c>
      <c r="B32" s="627"/>
      <c r="C32" s="627"/>
      <c r="D32" s="627"/>
      <c r="E32" s="627" t="s">
        <v>224</v>
      </c>
      <c r="F32" s="627"/>
      <c r="G32" s="637">
        <v>1.65</v>
      </c>
      <c r="H32" s="638"/>
      <c r="I32" s="386">
        <v>2.38</v>
      </c>
    </row>
    <row r="33" spans="1:9" ht="19.05" customHeight="1">
      <c r="A33" s="630" t="s">
        <v>225</v>
      </c>
      <c r="B33" s="630"/>
      <c r="C33" s="630"/>
      <c r="D33" s="630"/>
      <c r="E33" s="630" t="s">
        <v>226</v>
      </c>
      <c r="F33" s="630"/>
      <c r="G33" s="631">
        <v>7.6</v>
      </c>
      <c r="H33" s="632"/>
      <c r="I33" s="387">
        <v>10.96</v>
      </c>
    </row>
    <row r="34" spans="1:9" ht="19.05" customHeight="1">
      <c r="A34" s="628" t="s">
        <v>227</v>
      </c>
      <c r="B34" s="628"/>
      <c r="C34" s="628"/>
      <c r="D34" s="628"/>
      <c r="E34" s="628" t="s">
        <v>228</v>
      </c>
      <c r="F34" s="628"/>
      <c r="G34" s="640">
        <v>5</v>
      </c>
      <c r="H34" s="641"/>
      <c r="I34" s="388">
        <v>7.21</v>
      </c>
    </row>
    <row r="35" spans="1:9" ht="19.95" customHeight="1">
      <c r="A35" s="625"/>
      <c r="B35" s="625"/>
      <c r="C35" s="625"/>
      <c r="D35" s="625"/>
      <c r="E35" s="642" t="s">
        <v>229</v>
      </c>
      <c r="F35" s="642"/>
      <c r="G35" s="643">
        <v>14.25</v>
      </c>
      <c r="H35" s="644"/>
      <c r="I35" s="392">
        <v>20.55</v>
      </c>
    </row>
    <row r="36" spans="1:9" ht="19.95" customHeight="1">
      <c r="A36" s="653"/>
      <c r="B36" s="653"/>
      <c r="C36" s="653"/>
      <c r="D36" s="653"/>
      <c r="E36" s="633" t="s">
        <v>230</v>
      </c>
      <c r="F36" s="633"/>
      <c r="G36" s="654">
        <v>30.67</v>
      </c>
      <c r="H36" s="655"/>
      <c r="I36" s="389">
        <v>44.23</v>
      </c>
    </row>
    <row r="37" spans="1:9" ht="31.05" customHeight="1">
      <c r="A37" s="647" t="s">
        <v>231</v>
      </c>
      <c r="B37" s="647"/>
      <c r="C37" s="647"/>
      <c r="D37" s="647"/>
      <c r="E37" s="647"/>
      <c r="F37" s="647"/>
      <c r="G37" s="647"/>
      <c r="H37" s="647"/>
      <c r="I37" s="647"/>
    </row>
  </sheetData>
  <mergeCells count="90">
    <mergeCell ref="A8:I8"/>
    <mergeCell ref="A20:I20"/>
    <mergeCell ref="A1:I1"/>
    <mergeCell ref="A2:I2"/>
    <mergeCell ref="A36:D36"/>
    <mergeCell ref="E36:F36"/>
    <mergeCell ref="G36:H36"/>
    <mergeCell ref="A30:D30"/>
    <mergeCell ref="E30:F30"/>
    <mergeCell ref="G30:H30"/>
    <mergeCell ref="A31:D31"/>
    <mergeCell ref="E31:F31"/>
    <mergeCell ref="G31:H31"/>
    <mergeCell ref="A32:D32"/>
    <mergeCell ref="E32:F32"/>
    <mergeCell ref="G32:H32"/>
    <mergeCell ref="A37:I37"/>
    <mergeCell ref="A34:D34"/>
    <mergeCell ref="E34:F34"/>
    <mergeCell ref="G34:H34"/>
    <mergeCell ref="A35:D35"/>
    <mergeCell ref="E35:F35"/>
    <mergeCell ref="G35:H35"/>
    <mergeCell ref="A33:D33"/>
    <mergeCell ref="E33:F33"/>
    <mergeCell ref="G33:H33"/>
    <mergeCell ref="A26:D26"/>
    <mergeCell ref="E26:F26"/>
    <mergeCell ref="G26:H26"/>
    <mergeCell ref="A27:D27"/>
    <mergeCell ref="E27:F27"/>
    <mergeCell ref="G27:H27"/>
    <mergeCell ref="A28:D28"/>
    <mergeCell ref="E28:F28"/>
    <mergeCell ref="G28:H28"/>
    <mergeCell ref="A29:D29"/>
    <mergeCell ref="E29:F29"/>
    <mergeCell ref="G29:H29"/>
    <mergeCell ref="A25:D25"/>
    <mergeCell ref="E25:F25"/>
    <mergeCell ref="G25:H25"/>
    <mergeCell ref="A21:I21"/>
    <mergeCell ref="A22:D22"/>
    <mergeCell ref="E22:F22"/>
    <mergeCell ref="G22:H22"/>
    <mergeCell ref="A23:D23"/>
    <mergeCell ref="E23:F23"/>
    <mergeCell ref="G23:H23"/>
    <mergeCell ref="A24:D24"/>
    <mergeCell ref="E24:F24"/>
    <mergeCell ref="G24:H24"/>
    <mergeCell ref="C17:E17"/>
    <mergeCell ref="G17:H17"/>
    <mergeCell ref="A18:B19"/>
    <mergeCell ref="C18:E18"/>
    <mergeCell ref="G18:H18"/>
    <mergeCell ref="C19:E19"/>
    <mergeCell ref="G19:H19"/>
    <mergeCell ref="A14:B17"/>
    <mergeCell ref="C14:E14"/>
    <mergeCell ref="G14:H14"/>
    <mergeCell ref="C15:E15"/>
    <mergeCell ref="G15:H15"/>
    <mergeCell ref="C16:E16"/>
    <mergeCell ref="G16:H16"/>
    <mergeCell ref="A9:B9"/>
    <mergeCell ref="C9:E9"/>
    <mergeCell ref="G9:H9"/>
    <mergeCell ref="A10:B11"/>
    <mergeCell ref="C10:E10"/>
    <mergeCell ref="G10:H10"/>
    <mergeCell ref="C11:E11"/>
    <mergeCell ref="G11:H11"/>
    <mergeCell ref="A12:B13"/>
    <mergeCell ref="C12:E12"/>
    <mergeCell ref="G12:H12"/>
    <mergeCell ref="C13:E13"/>
    <mergeCell ref="G13:H13"/>
    <mergeCell ref="B7:C7"/>
    <mergeCell ref="D7:F7"/>
    <mergeCell ref="A5:A7"/>
    <mergeCell ref="B5:C5"/>
    <mergeCell ref="D5:F5"/>
    <mergeCell ref="B6:C6"/>
    <mergeCell ref="D6:F6"/>
    <mergeCell ref="A3:A4"/>
    <mergeCell ref="B3:C4"/>
    <mergeCell ref="D3:F4"/>
    <mergeCell ref="G3:G4"/>
    <mergeCell ref="H3:I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 tint="0.39997558519241921"/>
    <pageSetUpPr fitToPage="1"/>
  </sheetPr>
  <dimension ref="A1:G14"/>
  <sheetViews>
    <sheetView zoomScale="55" zoomScaleNormal="55" workbookViewId="0">
      <selection activeCell="K11" sqref="K11"/>
    </sheetView>
  </sheetViews>
  <sheetFormatPr defaultColWidth="8.6640625" defaultRowHeight="17.399999999999999"/>
  <cols>
    <col min="1" max="1" width="50.5546875" style="4" bestFit="1" customWidth="1"/>
    <col min="2" max="5" width="15.109375" style="2" customWidth="1"/>
    <col min="6" max="6" width="12.5546875" style="3" customWidth="1"/>
    <col min="7" max="7" width="8.6640625" style="3"/>
    <col min="8" max="16384" width="8.6640625" style="4"/>
  </cols>
  <sheetData>
    <row r="1" spans="1:7">
      <c r="A1" s="149"/>
      <c r="B1" s="1"/>
      <c r="C1" s="1"/>
      <c r="D1" s="1"/>
      <c r="E1" s="1"/>
    </row>
    <row r="2" spans="1:7" ht="21" customHeight="1">
      <c r="A2" s="656" t="s">
        <v>154</v>
      </c>
      <c r="B2" s="657" t="s">
        <v>155</v>
      </c>
      <c r="C2" s="657"/>
      <c r="D2" s="657"/>
      <c r="E2" s="657"/>
    </row>
    <row r="3" spans="1:7" ht="18" customHeight="1">
      <c r="A3" s="656"/>
      <c r="B3" s="657"/>
      <c r="C3" s="657"/>
      <c r="D3" s="657"/>
      <c r="E3" s="657"/>
    </row>
    <row r="4" spans="1:7" ht="21">
      <c r="A4" s="656"/>
      <c r="B4" s="244" t="s">
        <v>156</v>
      </c>
      <c r="C4" s="244" t="s">
        <v>157</v>
      </c>
      <c r="D4" s="394" t="s">
        <v>472</v>
      </c>
      <c r="E4" s="394" t="s">
        <v>473</v>
      </c>
    </row>
    <row r="5" spans="1:7" s="303" customFormat="1" ht="20.399999999999999">
      <c r="A5" s="245" t="str">
        <f>Resumo!E6</f>
        <v>BR-116/RJ/SP (NOVADUTRA)</v>
      </c>
      <c r="B5" s="246">
        <f>(NovaDutra!P10)*0.3</f>
        <v>55.949999999999996</v>
      </c>
      <c r="C5" s="246"/>
      <c r="D5" s="246"/>
      <c r="E5" s="246"/>
      <c r="F5" s="301"/>
      <c r="G5" s="302"/>
    </row>
    <row r="6" spans="1:7" s="303" customFormat="1" ht="20.399999999999999">
      <c r="A6" s="245" t="str">
        <f>Resumo!E7</f>
        <v>BR-116/SP/PR (RÉGIS BITTENCOURT)</v>
      </c>
      <c r="B6" s="246">
        <f>Régis!W10*0.3</f>
        <v>69.5</v>
      </c>
      <c r="C6" s="246"/>
      <c r="D6" s="246"/>
      <c r="E6" s="246"/>
      <c r="F6" s="301"/>
      <c r="G6" s="302"/>
    </row>
    <row r="7" spans="1:7" s="303" customFormat="1" ht="20.399999999999999">
      <c r="A7" s="245" t="str">
        <f>Resumo!E8</f>
        <v>BR-153/SP (TRANSBRASILIANA)</v>
      </c>
      <c r="B7" s="408">
        <f>Transbrasiliana!P12*0.3</f>
        <v>88.5</v>
      </c>
      <c r="C7" s="408"/>
      <c r="D7" s="408"/>
      <c r="E7" s="408"/>
      <c r="F7" s="301"/>
      <c r="G7" s="302"/>
    </row>
    <row r="8" spans="1:7" s="303" customFormat="1" ht="20.399999999999999">
      <c r="A8" s="245" t="str">
        <f>Resumo!E9</f>
        <v>BR-116/PR/SC (PLANALTO SUL)</v>
      </c>
      <c r="B8" s="408"/>
      <c r="C8" s="408">
        <f>'Planalto Sul'!W10*0.3</f>
        <v>73.900000000000006</v>
      </c>
      <c r="D8" s="408"/>
      <c r="E8" s="408"/>
      <c r="F8" s="301"/>
      <c r="G8" s="302"/>
    </row>
    <row r="9" spans="1:7" s="303" customFormat="1" ht="20.399999999999999">
      <c r="A9" s="245" t="str">
        <f>Resumo!E10</f>
        <v>BR-376/PR - BR-101/SC (LITORAL SUL)</v>
      </c>
      <c r="B9" s="408"/>
      <c r="C9" s="408">
        <f>'Litoral Sul'!W10*0.2</f>
        <v>45.133333333333333</v>
      </c>
      <c r="D9" s="408"/>
      <c r="E9" s="408"/>
      <c r="F9" s="301"/>
      <c r="G9" s="302"/>
    </row>
    <row r="10" spans="1:7" s="303" customFormat="1" ht="20.399999999999999">
      <c r="A10" s="245" t="str">
        <f>Resumo!E11</f>
        <v>BR-101/SC (ViaCosteira)</v>
      </c>
      <c r="B10" s="408"/>
      <c r="C10" s="408">
        <v>0</v>
      </c>
      <c r="D10" s="408"/>
      <c r="E10" s="408"/>
      <c r="F10" s="301"/>
      <c r="G10" s="302"/>
    </row>
    <row r="11" spans="1:7" s="303" customFormat="1" ht="20.399999999999999">
      <c r="A11" s="245" t="str">
        <f>Resumo!E12</f>
        <v>BR-364/365/GO/MG (Ecovias do Cerrado)</v>
      </c>
      <c r="B11" s="408"/>
      <c r="C11" s="408"/>
      <c r="D11" s="408">
        <v>40</v>
      </c>
      <c r="E11" s="408"/>
      <c r="F11" s="301"/>
      <c r="G11" s="302"/>
    </row>
    <row r="12" spans="1:7" s="303" customFormat="1" ht="20.399999999999999">
      <c r="A12" s="245" t="str">
        <f>Resumo!E13</f>
        <v>BR-080/153/414/GO/TO (ECO 153)</v>
      </c>
      <c r="B12" s="408"/>
      <c r="C12" s="408"/>
      <c r="D12" s="408">
        <v>80</v>
      </c>
      <c r="E12" s="408"/>
      <c r="F12" s="301"/>
      <c r="G12" s="302"/>
    </row>
    <row r="13" spans="1:7" s="303" customFormat="1" ht="20.399999999999999">
      <c r="A13" s="245" t="str">
        <f>Resumo!E14</f>
        <v>BR-163/230/MT/PA</v>
      </c>
      <c r="B13" s="408"/>
      <c r="C13" s="408"/>
      <c r="D13" s="408"/>
      <c r="E13" s="408">
        <v>100</v>
      </c>
      <c r="F13" s="301"/>
      <c r="G13" s="302"/>
    </row>
    <row r="14" spans="1:7" ht="21">
      <c r="A14" s="394" t="s">
        <v>443</v>
      </c>
      <c r="B14" s="419">
        <f>ROUNDUP(SUM(B5:B13),0)</f>
        <v>214</v>
      </c>
      <c r="C14" s="419">
        <f t="shared" ref="C14:E14" si="0">ROUNDUP(SUM(C5:C13),0)</f>
        <v>120</v>
      </c>
      <c r="D14" s="419">
        <f t="shared" si="0"/>
        <v>120</v>
      </c>
      <c r="E14" s="419">
        <f t="shared" si="0"/>
        <v>100</v>
      </c>
    </row>
  </sheetData>
  <mergeCells count="2">
    <mergeCell ref="A2:A4"/>
    <mergeCell ref="B2:E3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ECAAD-E522-4030-B5F7-929DF2E2D201}">
  <sheetPr>
    <pageSetUpPr fitToPage="1"/>
  </sheetPr>
  <dimension ref="B1:L11"/>
  <sheetViews>
    <sheetView zoomScale="70" zoomScaleNormal="70" workbookViewId="0">
      <selection activeCell="O33" sqref="O33"/>
    </sheetView>
  </sheetViews>
  <sheetFormatPr defaultColWidth="8.6640625" defaultRowHeight="17.399999999999999"/>
  <cols>
    <col min="1" max="1" width="4.33203125" style="4" customWidth="1"/>
    <col min="2" max="2" width="9.44140625" style="4" bestFit="1" customWidth="1"/>
    <col min="3" max="3" width="17" style="2" bestFit="1" customWidth="1"/>
    <col min="4" max="4" width="17.6640625" style="2" customWidth="1"/>
    <col min="5" max="5" width="45.88671875" style="2" bestFit="1" customWidth="1"/>
    <col min="6" max="6" width="19.88671875" style="2" bestFit="1" customWidth="1"/>
    <col min="7" max="7" width="17.6640625" style="2" customWidth="1"/>
    <col min="8" max="9" width="13" style="2" customWidth="1"/>
    <col min="10" max="10" width="13" style="3" customWidth="1"/>
    <col min="11" max="11" width="19.33203125" style="3" bestFit="1" customWidth="1"/>
    <col min="12" max="12" width="8.6640625" style="3"/>
    <col min="13" max="16384" width="8.6640625" style="4"/>
  </cols>
  <sheetData>
    <row r="1" spans="2:11" ht="18" thickBot="1"/>
    <row r="2" spans="2:11" ht="30.75" customHeight="1">
      <c r="B2" s="661" t="s">
        <v>282</v>
      </c>
      <c r="C2" s="662"/>
      <c r="D2" s="662"/>
      <c r="E2" s="662"/>
      <c r="F2" s="662"/>
      <c r="G2" s="662"/>
      <c r="H2" s="662"/>
      <c r="I2" s="662"/>
      <c r="J2" s="662"/>
      <c r="K2" s="663"/>
    </row>
    <row r="3" spans="2:11" ht="18" customHeight="1">
      <c r="B3" s="664" t="s">
        <v>1</v>
      </c>
      <c r="C3" s="660" t="s">
        <v>2</v>
      </c>
      <c r="D3" s="660" t="s">
        <v>3</v>
      </c>
      <c r="E3" s="660" t="s">
        <v>4</v>
      </c>
      <c r="F3" s="665" t="s">
        <v>6</v>
      </c>
      <c r="G3" s="665" t="s">
        <v>283</v>
      </c>
      <c r="H3" s="434">
        <v>0.4</v>
      </c>
      <c r="I3" s="434">
        <v>1</v>
      </c>
      <c r="J3" s="434">
        <v>0.4</v>
      </c>
      <c r="K3" s="666" t="s">
        <v>284</v>
      </c>
    </row>
    <row r="4" spans="2:11" ht="15.6">
      <c r="B4" s="664"/>
      <c r="C4" s="660"/>
      <c r="D4" s="660"/>
      <c r="E4" s="660"/>
      <c r="F4" s="665"/>
      <c r="G4" s="665"/>
      <c r="H4" s="660" t="s">
        <v>285</v>
      </c>
      <c r="I4" s="660" t="s">
        <v>286</v>
      </c>
      <c r="J4" s="660" t="s">
        <v>287</v>
      </c>
      <c r="K4" s="666"/>
    </row>
    <row r="5" spans="2:11" ht="15.6">
      <c r="B5" s="664"/>
      <c r="C5" s="660"/>
      <c r="D5" s="660"/>
      <c r="E5" s="660"/>
      <c r="F5" s="665"/>
      <c r="G5" s="665"/>
      <c r="H5" s="660"/>
      <c r="I5" s="660"/>
      <c r="J5" s="660"/>
      <c r="K5" s="666"/>
    </row>
    <row r="6" spans="2:11" ht="15.6">
      <c r="B6" s="658">
        <v>3</v>
      </c>
      <c r="C6" s="413" t="str">
        <f>Resumo!C12</f>
        <v>GO/MG</v>
      </c>
      <c r="D6" s="414" t="str">
        <f>Resumo!D12</f>
        <v>4ª Etapa</v>
      </c>
      <c r="E6" s="415" t="str">
        <f>Resumo!E12</f>
        <v>BR-364/365/GO/MG (Ecovias do Cerrado)</v>
      </c>
      <c r="F6" s="416">
        <f>Resumo!G12</f>
        <v>437</v>
      </c>
      <c r="G6" s="417">
        <f>(44.2*2)+(80*4)+(357*2)+19.4</f>
        <v>1141.8000000000002</v>
      </c>
      <c r="H6" s="418">
        <f t="shared" ref="H6" si="0">$H$3*G6</f>
        <v>456.72000000000008</v>
      </c>
      <c r="I6" s="418">
        <f t="shared" ref="I6" si="1">$I$3*G6</f>
        <v>1141.8000000000002</v>
      </c>
      <c r="J6" s="418">
        <f t="shared" ref="J6" si="2">$J$3*G6</f>
        <v>456.72000000000008</v>
      </c>
      <c r="K6" s="305">
        <f>ROUNDUP(F6*0.3,0)</f>
        <v>132</v>
      </c>
    </row>
    <row r="7" spans="2:11" ht="22.5" customHeight="1">
      <c r="B7" s="659"/>
      <c r="C7" s="413" t="str">
        <f>Resumo!C13</f>
        <v>GO/TO</v>
      </c>
      <c r="D7" s="414" t="str">
        <f>Resumo!D13</f>
        <v>4ª Etapa</v>
      </c>
      <c r="E7" s="415" t="str">
        <f>Resumo!E13</f>
        <v>BR-080/153/414/GO/TO (ECO 153)</v>
      </c>
      <c r="F7" s="416">
        <f>Resumo!G13</f>
        <v>850.7</v>
      </c>
      <c r="G7" s="417">
        <f>(824*2)+(26.7*4)+(622.52*2)+(6.1*2)+27.58+89.9+26</f>
        <v>3155.52</v>
      </c>
      <c r="H7" s="418">
        <f t="shared" ref="H7:H8" si="3">$H$3*G7</f>
        <v>1262.2080000000001</v>
      </c>
      <c r="I7" s="418">
        <f t="shared" ref="I7:I8" si="4">$I$3*G7</f>
        <v>3155.52</v>
      </c>
      <c r="J7" s="418">
        <f t="shared" ref="J7:J8" si="5">$J$3*G7</f>
        <v>1262.2080000000001</v>
      </c>
      <c r="K7" s="305">
        <f t="shared" ref="K7:K8" si="6">ROUNDUP(F7*0.3,0)</f>
        <v>256</v>
      </c>
    </row>
    <row r="8" spans="2:11" s="3" customFormat="1" ht="22.5" customHeight="1" thickBot="1">
      <c r="B8" s="310">
        <v>4</v>
      </c>
      <c r="C8" s="319" t="str">
        <f>Resumo!C14</f>
        <v>MT/PA</v>
      </c>
      <c r="D8" s="306" t="str">
        <f>Resumo!D14</f>
        <v>4ª Etapa</v>
      </c>
      <c r="E8" s="312" t="str">
        <f>Resumo!E14</f>
        <v>BR-163/230/MT/PA</v>
      </c>
      <c r="F8" s="307">
        <f>Resumo!G14</f>
        <v>1009.53</v>
      </c>
      <c r="G8" s="313">
        <f>(4*4)+(965.6*2)+(60.1*2)+0.6+42.87</f>
        <v>2110.87</v>
      </c>
      <c r="H8" s="308">
        <f t="shared" si="3"/>
        <v>844.34799999999996</v>
      </c>
      <c r="I8" s="308">
        <f t="shared" si="4"/>
        <v>2110.87</v>
      </c>
      <c r="J8" s="308">
        <f t="shared" si="5"/>
        <v>844.34799999999996</v>
      </c>
      <c r="K8" s="309">
        <f t="shared" si="6"/>
        <v>303</v>
      </c>
    </row>
    <row r="9" spans="2:11" s="3" customFormat="1">
      <c r="B9" s="4"/>
      <c r="C9" s="2"/>
      <c r="D9" s="2"/>
      <c r="E9" s="2"/>
      <c r="F9" s="2"/>
      <c r="G9" s="311"/>
      <c r="H9" s="2"/>
      <c r="I9" s="2"/>
    </row>
    <row r="10" spans="2:11">
      <c r="F10" s="320"/>
      <c r="G10" s="320"/>
      <c r="H10" s="320"/>
      <c r="I10" s="320"/>
      <c r="J10" s="320"/>
      <c r="K10" s="320"/>
    </row>
    <row r="11" spans="2:11">
      <c r="F11" s="320"/>
    </row>
  </sheetData>
  <mergeCells count="12">
    <mergeCell ref="B6:B7"/>
    <mergeCell ref="J4:J5"/>
    <mergeCell ref="B2:K2"/>
    <mergeCell ref="B3:B5"/>
    <mergeCell ref="C3:C5"/>
    <mergeCell ref="D3:D5"/>
    <mergeCell ref="E3:E5"/>
    <mergeCell ref="F3:F5"/>
    <mergeCell ref="G3:G5"/>
    <mergeCell ref="K3:K5"/>
    <mergeCell ref="H4:H5"/>
    <mergeCell ref="I4:I5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A3053-D12A-4A5B-9673-20A08487140E}">
  <sheetPr>
    <pageSetUpPr fitToPage="1"/>
  </sheetPr>
  <dimension ref="A1:L27"/>
  <sheetViews>
    <sheetView showGridLines="0" zoomScaleNormal="100" workbookViewId="0">
      <selection activeCell="A5" sqref="A5:J6"/>
    </sheetView>
  </sheetViews>
  <sheetFormatPr defaultColWidth="9.109375" defaultRowHeight="13.8"/>
  <cols>
    <col min="1" max="1" width="14.5546875" style="322" customWidth="1"/>
    <col min="2" max="2" width="55.109375" style="322" customWidth="1"/>
    <col min="3" max="3" width="28" style="322" customWidth="1"/>
    <col min="4" max="4" width="10.21875" style="322" bestFit="1" customWidth="1"/>
    <col min="5" max="5" width="10.44140625" style="322" bestFit="1" customWidth="1"/>
    <col min="6" max="6" width="13.109375" style="322" bestFit="1" customWidth="1"/>
    <col min="7" max="7" width="12" style="322" bestFit="1" customWidth="1"/>
    <col min="8" max="8" width="13.109375" style="322" bestFit="1" customWidth="1"/>
    <col min="9" max="10" width="13.44140625" style="322" customWidth="1"/>
    <col min="11" max="12" width="9.109375" style="322" customWidth="1"/>
    <col min="13" max="16384" width="9.109375" style="322"/>
  </cols>
  <sheetData>
    <row r="1" spans="1:12" ht="15" customHeight="1">
      <c r="A1" s="321"/>
      <c r="B1" s="342"/>
      <c r="C1" s="686" t="s">
        <v>297</v>
      </c>
      <c r="D1" s="687"/>
      <c r="E1" s="687"/>
      <c r="F1" s="323"/>
      <c r="G1" s="323"/>
      <c r="H1" s="323"/>
      <c r="I1" s="323"/>
      <c r="J1" s="323"/>
    </row>
    <row r="2" spans="1:12" ht="15" customHeight="1">
      <c r="A2" s="321"/>
      <c r="B2" s="342"/>
      <c r="C2" s="687"/>
      <c r="D2" s="687"/>
      <c r="E2" s="687"/>
      <c r="F2" s="323"/>
      <c r="G2" s="323"/>
      <c r="H2" s="323"/>
      <c r="I2" s="323"/>
      <c r="J2" s="323"/>
    </row>
    <row r="3" spans="1:12" ht="15" customHeight="1">
      <c r="B3" s="342"/>
      <c r="C3" s="687"/>
      <c r="D3" s="687"/>
      <c r="E3" s="687"/>
      <c r="F3" s="323"/>
      <c r="G3" s="323"/>
      <c r="H3" s="323"/>
      <c r="I3" s="323"/>
      <c r="J3" s="323"/>
    </row>
    <row r="4" spans="1:12" ht="15.6">
      <c r="B4" s="324"/>
      <c r="C4" s="324"/>
      <c r="D4" s="324"/>
      <c r="E4" s="324"/>
      <c r="F4" s="324"/>
      <c r="G4" s="324"/>
      <c r="H4" s="324"/>
      <c r="I4" s="324"/>
      <c r="J4" s="324"/>
    </row>
    <row r="5" spans="1:12">
      <c r="A5" s="688" t="s">
        <v>330</v>
      </c>
      <c r="B5" s="688"/>
      <c r="C5" s="688"/>
      <c r="D5" s="688"/>
      <c r="E5" s="688"/>
      <c r="F5" s="688"/>
      <c r="G5" s="688"/>
      <c r="H5" s="688"/>
      <c r="I5" s="688"/>
      <c r="J5" s="688"/>
      <c r="K5" s="325"/>
      <c r="L5" s="325"/>
    </row>
    <row r="6" spans="1:12">
      <c r="A6" s="688"/>
      <c r="B6" s="688"/>
      <c r="C6" s="688"/>
      <c r="D6" s="688"/>
      <c r="E6" s="688"/>
      <c r="F6" s="688"/>
      <c r="G6" s="688"/>
      <c r="H6" s="688"/>
      <c r="I6" s="688"/>
      <c r="J6" s="688"/>
    </row>
    <row r="7" spans="1:12">
      <c r="A7" s="326" t="s">
        <v>298</v>
      </c>
    </row>
    <row r="8" spans="1:12" ht="20.25" customHeight="1">
      <c r="A8" s="689" t="s">
        <v>299</v>
      </c>
      <c r="B8" s="689"/>
      <c r="C8" s="689"/>
      <c r="D8" s="689"/>
      <c r="E8" s="689"/>
      <c r="F8" s="689"/>
      <c r="G8" s="689"/>
      <c r="H8" s="689"/>
      <c r="I8" s="689"/>
      <c r="J8" s="689"/>
      <c r="K8" s="689"/>
      <c r="L8" s="689"/>
    </row>
    <row r="9" spans="1:12" ht="15" customHeight="1">
      <c r="A9" s="678" t="s">
        <v>300</v>
      </c>
      <c r="B9" s="678" t="s">
        <v>301</v>
      </c>
      <c r="C9" s="678"/>
      <c r="D9" s="678"/>
      <c r="E9" s="678"/>
      <c r="F9" s="678"/>
      <c r="G9" s="690"/>
      <c r="H9" s="678" t="s">
        <v>302</v>
      </c>
      <c r="I9" s="678"/>
      <c r="J9" s="678"/>
      <c r="K9" s="327"/>
      <c r="L9" s="327"/>
    </row>
    <row r="10" spans="1:12">
      <c r="A10" s="678"/>
      <c r="B10" s="678"/>
      <c r="C10" s="678"/>
      <c r="D10" s="678"/>
      <c r="E10" s="678"/>
      <c r="F10" s="678"/>
      <c r="G10" s="690"/>
      <c r="H10" s="678"/>
      <c r="I10" s="678"/>
      <c r="J10" s="678"/>
      <c r="K10" s="327"/>
      <c r="L10" s="327"/>
    </row>
    <row r="11" spans="1:12">
      <c r="A11" s="328">
        <v>1</v>
      </c>
      <c r="B11" s="684" t="s">
        <v>303</v>
      </c>
      <c r="C11" s="685"/>
      <c r="D11" s="685"/>
      <c r="E11" s="685"/>
      <c r="F11" s="685"/>
      <c r="G11" s="685"/>
      <c r="H11" s="678" t="s">
        <v>304</v>
      </c>
      <c r="I11" s="678"/>
      <c r="J11" s="678"/>
      <c r="K11" s="327"/>
      <c r="L11" s="327"/>
    </row>
    <row r="12" spans="1:12">
      <c r="A12" s="328">
        <v>2</v>
      </c>
      <c r="B12" s="684" t="s">
        <v>305</v>
      </c>
      <c r="C12" s="685"/>
      <c r="D12" s="685"/>
      <c r="E12" s="685"/>
      <c r="F12" s="685"/>
      <c r="G12" s="685"/>
      <c r="H12" s="678" t="s">
        <v>306</v>
      </c>
      <c r="I12" s="678"/>
      <c r="J12" s="678"/>
      <c r="K12" s="327"/>
      <c r="L12" s="327"/>
    </row>
    <row r="13" spans="1:12">
      <c r="A13" s="328">
        <v>3</v>
      </c>
      <c r="B13" s="684" t="s">
        <v>307</v>
      </c>
      <c r="C13" s="685"/>
      <c r="D13" s="685"/>
      <c r="E13" s="685"/>
      <c r="F13" s="685"/>
      <c r="G13" s="685"/>
      <c r="H13" s="678" t="s">
        <v>308</v>
      </c>
      <c r="I13" s="678"/>
      <c r="J13" s="678"/>
      <c r="K13" s="327"/>
      <c r="L13" s="327"/>
    </row>
    <row r="14" spans="1:12">
      <c r="A14" s="328">
        <v>4</v>
      </c>
      <c r="B14" s="678" t="s">
        <v>309</v>
      </c>
      <c r="C14" s="678"/>
      <c r="D14" s="678"/>
      <c r="E14" s="678"/>
      <c r="F14" s="678"/>
      <c r="G14" s="678"/>
      <c r="H14" s="678" t="s">
        <v>310</v>
      </c>
      <c r="I14" s="678"/>
      <c r="J14" s="678"/>
      <c r="K14" s="327"/>
      <c r="L14" s="327"/>
    </row>
    <row r="15" spans="1:12">
      <c r="A15" s="329"/>
    </row>
    <row r="16" spans="1:12">
      <c r="A16" s="329"/>
    </row>
    <row r="17" spans="1:12">
      <c r="A17" s="679" t="s">
        <v>311</v>
      </c>
      <c r="B17" s="680"/>
      <c r="C17" s="680"/>
      <c r="D17" s="680"/>
      <c r="E17" s="680"/>
      <c r="F17" s="680"/>
      <c r="G17" s="680"/>
      <c r="H17" s="680"/>
      <c r="I17" s="680"/>
      <c r="J17" s="680"/>
      <c r="K17" s="680"/>
      <c r="L17" s="680"/>
    </row>
    <row r="18" spans="1:12" ht="26.25" customHeight="1">
      <c r="A18" s="678" t="s">
        <v>312</v>
      </c>
      <c r="B18" s="678" t="s">
        <v>313</v>
      </c>
      <c r="C18" s="681" t="s">
        <v>314</v>
      </c>
      <c r="D18" s="678" t="s">
        <v>16</v>
      </c>
      <c r="E18" s="682"/>
      <c r="F18" s="682"/>
      <c r="G18" s="682"/>
      <c r="H18" s="683"/>
      <c r="I18" s="678" t="s">
        <v>315</v>
      </c>
      <c r="J18" s="678" t="s">
        <v>316</v>
      </c>
      <c r="K18" s="330"/>
      <c r="L18" s="330"/>
    </row>
    <row r="19" spans="1:12" ht="27" customHeight="1">
      <c r="A19" s="678"/>
      <c r="B19" s="678"/>
      <c r="C19" s="681"/>
      <c r="D19" s="678"/>
      <c r="E19" s="331" t="s">
        <v>317</v>
      </c>
      <c r="F19" s="331" t="s">
        <v>318</v>
      </c>
      <c r="G19" s="331" t="s">
        <v>319</v>
      </c>
      <c r="H19" s="331" t="s">
        <v>320</v>
      </c>
      <c r="I19" s="678"/>
      <c r="J19" s="678"/>
      <c r="K19" s="330"/>
      <c r="L19" s="330"/>
    </row>
    <row r="20" spans="1:12" ht="26.4">
      <c r="A20" s="332">
        <v>1</v>
      </c>
      <c r="B20" s="332" t="s">
        <v>321</v>
      </c>
      <c r="C20" s="332" t="s">
        <v>278</v>
      </c>
      <c r="D20" s="333">
        <v>1282</v>
      </c>
      <c r="E20" s="334">
        <v>285</v>
      </c>
      <c r="F20" s="334">
        <v>337.77</v>
      </c>
      <c r="G20" s="334">
        <v>249.48</v>
      </c>
      <c r="H20" s="334">
        <v>255.11</v>
      </c>
      <c r="I20" s="335">
        <f>AVERAGE(E20:H20)</f>
        <v>281.84000000000003</v>
      </c>
      <c r="J20" s="336"/>
      <c r="K20" s="330"/>
      <c r="L20" s="330"/>
    </row>
    <row r="21" spans="1:12" ht="26.4">
      <c r="A21" s="331">
        <v>2</v>
      </c>
      <c r="B21" s="331" t="s">
        <v>322</v>
      </c>
      <c r="C21" s="332" t="s">
        <v>278</v>
      </c>
      <c r="D21" s="333">
        <v>3204</v>
      </c>
      <c r="E21" s="337">
        <v>55</v>
      </c>
      <c r="F21" s="338">
        <v>27.1</v>
      </c>
      <c r="G21" s="338">
        <v>99.9</v>
      </c>
      <c r="H21" s="338">
        <v>59.98</v>
      </c>
      <c r="I21" s="335">
        <f>AVERAGE(E21:H21)</f>
        <v>60.494999999999997</v>
      </c>
      <c r="J21" s="339"/>
      <c r="K21" s="330"/>
      <c r="L21" s="330"/>
    </row>
    <row r="22" spans="1:12">
      <c r="A22" s="331">
        <v>3</v>
      </c>
      <c r="B22" s="331" t="s">
        <v>323</v>
      </c>
      <c r="C22" s="332" t="s">
        <v>278</v>
      </c>
      <c r="D22" s="333">
        <v>1282</v>
      </c>
      <c r="E22" s="337">
        <v>64</v>
      </c>
      <c r="F22" s="338">
        <v>192.99</v>
      </c>
      <c r="G22" s="338">
        <v>173.12</v>
      </c>
      <c r="H22" s="338">
        <v>163.03</v>
      </c>
      <c r="I22" s="335">
        <f>AVERAGE(E22:H22)</f>
        <v>148.285</v>
      </c>
      <c r="J22" s="339"/>
      <c r="K22" s="330"/>
      <c r="L22" s="330"/>
    </row>
    <row r="23" spans="1:12">
      <c r="A23" s="331">
        <v>4</v>
      </c>
      <c r="B23" s="331" t="s">
        <v>324</v>
      </c>
      <c r="C23" s="332" t="s">
        <v>279</v>
      </c>
      <c r="D23" s="332">
        <v>345</v>
      </c>
      <c r="E23" s="337">
        <v>285</v>
      </c>
      <c r="F23" s="338">
        <v>410.06</v>
      </c>
      <c r="G23" s="338">
        <v>150</v>
      </c>
      <c r="H23" s="338">
        <v>121.39</v>
      </c>
      <c r="I23" s="335">
        <f>AVERAGE(E23:H23)</f>
        <v>241.61249999999998</v>
      </c>
      <c r="J23" s="339"/>
      <c r="K23" s="330"/>
      <c r="L23" s="330"/>
    </row>
    <row r="24" spans="1:12" ht="26.4">
      <c r="A24" s="331">
        <v>5</v>
      </c>
      <c r="B24" s="331" t="s">
        <v>325</v>
      </c>
      <c r="C24" s="331" t="s">
        <v>289</v>
      </c>
      <c r="D24" s="331">
        <v>460</v>
      </c>
      <c r="E24" s="337">
        <v>456</v>
      </c>
      <c r="F24" s="338"/>
      <c r="G24" s="338">
        <v>98</v>
      </c>
      <c r="H24" s="338">
        <v>335.91</v>
      </c>
      <c r="I24" s="335">
        <f>AVERAGE(E24:H24)</f>
        <v>296.63666666666671</v>
      </c>
      <c r="J24" s="339"/>
      <c r="K24" s="330"/>
      <c r="L24" s="330"/>
    </row>
    <row r="25" spans="1:12" ht="35.25" customHeight="1">
      <c r="A25" s="340"/>
      <c r="B25" s="341"/>
      <c r="C25" s="340"/>
      <c r="D25" s="340"/>
      <c r="E25" s="667" t="s">
        <v>326</v>
      </c>
      <c r="F25" s="668"/>
      <c r="G25" s="669"/>
      <c r="H25" s="667"/>
      <c r="I25" s="670"/>
      <c r="J25" s="671"/>
      <c r="K25" s="330"/>
      <c r="L25" s="330"/>
    </row>
    <row r="26" spans="1:12" ht="22.5" customHeight="1">
      <c r="A26" s="340"/>
      <c r="B26" s="341"/>
      <c r="C26" s="340"/>
      <c r="D26" s="340"/>
      <c r="E26" s="672" t="s">
        <v>327</v>
      </c>
      <c r="F26" s="673"/>
      <c r="G26" s="674"/>
      <c r="H26" s="675" t="s">
        <v>328</v>
      </c>
      <c r="I26" s="676"/>
      <c r="J26" s="677"/>
      <c r="K26" s="330"/>
      <c r="L26" s="330"/>
    </row>
    <row r="27" spans="1:12" ht="48" customHeight="1">
      <c r="A27" s="340"/>
      <c r="B27" s="341"/>
      <c r="C27" s="340"/>
      <c r="D27" s="340"/>
      <c r="E27" s="667"/>
      <c r="F27" s="668"/>
      <c r="G27" s="669"/>
      <c r="H27" s="667" t="s">
        <v>329</v>
      </c>
      <c r="I27" s="668"/>
      <c r="J27" s="669"/>
      <c r="K27" s="330"/>
      <c r="L27" s="330"/>
    </row>
  </sheetData>
  <mergeCells count="27">
    <mergeCell ref="C1:E3"/>
    <mergeCell ref="A5:J6"/>
    <mergeCell ref="A8:L8"/>
    <mergeCell ref="A9:A10"/>
    <mergeCell ref="B9:G10"/>
    <mergeCell ref="H9:J10"/>
    <mergeCell ref="B11:G11"/>
    <mergeCell ref="H11:J11"/>
    <mergeCell ref="B12:G12"/>
    <mergeCell ref="H12:J12"/>
    <mergeCell ref="B13:G13"/>
    <mergeCell ref="H13:J13"/>
    <mergeCell ref="B14:G14"/>
    <mergeCell ref="H14:J14"/>
    <mergeCell ref="A17:L17"/>
    <mergeCell ref="A18:A19"/>
    <mergeCell ref="B18:B19"/>
    <mergeCell ref="C18:C19"/>
    <mergeCell ref="D18:D19"/>
    <mergeCell ref="E18:H18"/>
    <mergeCell ref="I18:I19"/>
    <mergeCell ref="J18:J19"/>
    <mergeCell ref="E25:G25"/>
    <mergeCell ref="H25:J25"/>
    <mergeCell ref="E26:G27"/>
    <mergeCell ref="H26:J26"/>
    <mergeCell ref="H27:J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landscape" r:id="rId1"/>
  <colBreaks count="1" manualBreakCount="1">
    <brk id="10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96596-4595-4534-A951-C178A9A3ECB9}">
  <sheetPr>
    <pageSetUpPr fitToPage="1"/>
  </sheetPr>
  <dimension ref="A5:F37"/>
  <sheetViews>
    <sheetView showGridLines="0" topLeftCell="A7" zoomScale="85" zoomScaleNormal="85" workbookViewId="0">
      <selection activeCell="A7" sqref="A7:E7"/>
    </sheetView>
  </sheetViews>
  <sheetFormatPr defaultColWidth="9.109375" defaultRowHeight="15"/>
  <cols>
    <col min="1" max="1" width="63.44140625" style="367" customWidth="1"/>
    <col min="2" max="2" width="21.33203125" style="367" customWidth="1"/>
    <col min="3" max="3" width="44.109375" style="367" customWidth="1"/>
    <col min="4" max="4" width="43.109375" style="367" customWidth="1"/>
    <col min="5" max="5" width="22" style="367" customWidth="1"/>
    <col min="6" max="6" width="40.88671875" style="365" customWidth="1"/>
    <col min="7" max="16384" width="9.109375" style="366"/>
  </cols>
  <sheetData>
    <row r="5" spans="1:6" ht="15.6">
      <c r="A5" s="697" t="s">
        <v>338</v>
      </c>
      <c r="B5" s="698"/>
      <c r="C5" s="698"/>
      <c r="D5" s="698"/>
      <c r="E5" s="698"/>
    </row>
    <row r="7" spans="1:6">
      <c r="A7" s="699" t="s">
        <v>339</v>
      </c>
      <c r="B7" s="699"/>
      <c r="C7" s="699"/>
      <c r="D7" s="699"/>
      <c r="E7" s="699"/>
    </row>
    <row r="8" spans="1:6">
      <c r="A8" s="699" t="s">
        <v>340</v>
      </c>
      <c r="B8" s="699"/>
      <c r="C8" s="699"/>
      <c r="D8" s="699"/>
      <c r="E8" s="699"/>
    </row>
    <row r="10" spans="1:6" ht="15.6">
      <c r="A10" s="700"/>
      <c r="B10" s="700"/>
      <c r="C10" s="700"/>
      <c r="D10" s="700"/>
    </row>
    <row r="11" spans="1:6" ht="16.2" thickBot="1">
      <c r="A11" s="368"/>
      <c r="B11" s="368"/>
      <c r="C11" s="368"/>
      <c r="D11" s="368"/>
      <c r="E11" s="368"/>
    </row>
    <row r="12" spans="1:6" ht="15.75" customHeight="1">
      <c r="A12" s="701" t="s">
        <v>341</v>
      </c>
      <c r="B12" s="703" t="s">
        <v>302</v>
      </c>
      <c r="C12" s="703" t="s">
        <v>342</v>
      </c>
      <c r="D12" s="705" t="s">
        <v>343</v>
      </c>
      <c r="E12" s="703" t="s">
        <v>344</v>
      </c>
      <c r="F12" s="691" t="s">
        <v>345</v>
      </c>
    </row>
    <row r="13" spans="1:6">
      <c r="A13" s="702"/>
      <c r="B13" s="704"/>
      <c r="C13" s="704"/>
      <c r="D13" s="706"/>
      <c r="E13" s="707"/>
      <c r="F13" s="692"/>
    </row>
    <row r="14" spans="1:6" ht="57.6">
      <c r="A14" s="369" t="s">
        <v>305</v>
      </c>
      <c r="B14" s="370" t="s">
        <v>306</v>
      </c>
      <c r="C14" s="371" t="s">
        <v>346</v>
      </c>
      <c r="D14" s="370" t="s">
        <v>347</v>
      </c>
      <c r="E14" s="370" t="s">
        <v>348</v>
      </c>
      <c r="F14" s="372" t="s">
        <v>424</v>
      </c>
    </row>
    <row r="15" spans="1:6" ht="45">
      <c r="A15" s="369" t="s">
        <v>349</v>
      </c>
      <c r="B15" s="370" t="s">
        <v>350</v>
      </c>
      <c r="C15" s="371" t="s">
        <v>351</v>
      </c>
      <c r="D15" s="370" t="s">
        <v>352</v>
      </c>
      <c r="E15" s="370" t="s">
        <v>353</v>
      </c>
      <c r="F15" s="372" t="s">
        <v>425</v>
      </c>
    </row>
    <row r="16" spans="1:6" ht="46.8">
      <c r="A16" s="369" t="s">
        <v>303</v>
      </c>
      <c r="B16" s="370" t="s">
        <v>304</v>
      </c>
      <c r="C16" s="371" t="s">
        <v>354</v>
      </c>
      <c r="D16" s="370" t="s">
        <v>355</v>
      </c>
      <c r="E16" s="370" t="s">
        <v>356</v>
      </c>
      <c r="F16" s="372" t="s">
        <v>426</v>
      </c>
    </row>
    <row r="17" spans="1:6" ht="57.6">
      <c r="A17" s="369" t="s">
        <v>309</v>
      </c>
      <c r="B17" s="370" t="s">
        <v>310</v>
      </c>
      <c r="C17" s="371" t="s">
        <v>357</v>
      </c>
      <c r="D17" s="370" t="s">
        <v>358</v>
      </c>
      <c r="E17" s="370" t="s">
        <v>359</v>
      </c>
      <c r="F17" s="372" t="s">
        <v>427</v>
      </c>
    </row>
    <row r="18" spans="1:6" ht="45">
      <c r="A18" s="369" t="s">
        <v>360</v>
      </c>
      <c r="B18" s="370" t="s">
        <v>361</v>
      </c>
      <c r="C18" s="371" t="s">
        <v>362</v>
      </c>
      <c r="D18" s="370" t="s">
        <v>363</v>
      </c>
      <c r="E18" s="370" t="s">
        <v>364</v>
      </c>
      <c r="F18" s="372" t="s">
        <v>428</v>
      </c>
    </row>
    <row r="19" spans="1:6" ht="46.8">
      <c r="A19" s="369" t="s">
        <v>365</v>
      </c>
      <c r="B19" s="370" t="s">
        <v>366</v>
      </c>
      <c r="C19" s="371" t="s">
        <v>367</v>
      </c>
      <c r="D19" s="370" t="s">
        <v>368</v>
      </c>
      <c r="E19" s="370" t="s">
        <v>369</v>
      </c>
      <c r="F19" s="372" t="s">
        <v>429</v>
      </c>
    </row>
    <row r="20" spans="1:6" ht="45">
      <c r="A20" s="369" t="s">
        <v>370</v>
      </c>
      <c r="B20" s="370" t="s">
        <v>371</v>
      </c>
      <c r="C20" s="371" t="s">
        <v>372</v>
      </c>
      <c r="D20" s="370" t="s">
        <v>373</v>
      </c>
      <c r="E20" s="370" t="s">
        <v>374</v>
      </c>
      <c r="F20" s="372" t="s">
        <v>430</v>
      </c>
    </row>
    <row r="21" spans="1:6" ht="45">
      <c r="A21" s="369" t="s">
        <v>375</v>
      </c>
      <c r="B21" s="370" t="s">
        <v>376</v>
      </c>
      <c r="C21" s="371" t="s">
        <v>377</v>
      </c>
      <c r="D21" s="370" t="s">
        <v>378</v>
      </c>
      <c r="E21" s="370" t="s">
        <v>379</v>
      </c>
      <c r="F21" s="372" t="s">
        <v>431</v>
      </c>
    </row>
    <row r="22" spans="1:6" ht="46.8">
      <c r="A22" s="369" t="s">
        <v>380</v>
      </c>
      <c r="B22" s="370" t="s">
        <v>381</v>
      </c>
      <c r="C22" s="371" t="s">
        <v>382</v>
      </c>
      <c r="D22" s="370" t="s">
        <v>383</v>
      </c>
      <c r="E22" s="370" t="s">
        <v>384</v>
      </c>
      <c r="F22" s="372" t="s">
        <v>432</v>
      </c>
    </row>
    <row r="23" spans="1:6" ht="46.8">
      <c r="A23" s="369" t="s">
        <v>385</v>
      </c>
      <c r="B23" s="370" t="s">
        <v>386</v>
      </c>
      <c r="C23" s="371" t="s">
        <v>387</v>
      </c>
      <c r="D23" s="370" t="s">
        <v>388</v>
      </c>
      <c r="E23" s="370" t="s">
        <v>389</v>
      </c>
      <c r="F23" s="372" t="s">
        <v>433</v>
      </c>
    </row>
    <row r="24" spans="1:6" ht="46.8">
      <c r="A24" s="369" t="s">
        <v>390</v>
      </c>
      <c r="B24" s="370" t="s">
        <v>391</v>
      </c>
      <c r="C24" s="371" t="s">
        <v>392</v>
      </c>
      <c r="D24" s="370" t="s">
        <v>393</v>
      </c>
      <c r="E24" s="370" t="s">
        <v>394</v>
      </c>
      <c r="F24" s="372" t="s">
        <v>434</v>
      </c>
    </row>
    <row r="25" spans="1:6" ht="45">
      <c r="A25" s="369" t="s">
        <v>395</v>
      </c>
      <c r="B25" s="370" t="s">
        <v>396</v>
      </c>
      <c r="C25" s="371" t="s">
        <v>397</v>
      </c>
      <c r="D25" s="370" t="s">
        <v>398</v>
      </c>
      <c r="E25" s="370" t="s">
        <v>399</v>
      </c>
      <c r="F25" s="372" t="s">
        <v>435</v>
      </c>
    </row>
    <row r="26" spans="1:6" ht="46.8">
      <c r="A26" s="369" t="s">
        <v>400</v>
      </c>
      <c r="B26" s="370" t="s">
        <v>401</v>
      </c>
      <c r="C26" s="371" t="s">
        <v>402</v>
      </c>
      <c r="D26" s="370" t="s">
        <v>403</v>
      </c>
      <c r="E26" s="370" t="s">
        <v>404</v>
      </c>
      <c r="F26" s="372" t="s">
        <v>436</v>
      </c>
    </row>
    <row r="27" spans="1:6" ht="45">
      <c r="A27" s="369" t="s">
        <v>405</v>
      </c>
      <c r="B27" s="370" t="s">
        <v>406</v>
      </c>
      <c r="C27" s="371" t="s">
        <v>407</v>
      </c>
      <c r="D27" s="370" t="s">
        <v>408</v>
      </c>
      <c r="E27" s="370" t="s">
        <v>409</v>
      </c>
      <c r="F27" s="372" t="s">
        <v>437</v>
      </c>
    </row>
    <row r="28" spans="1:6" ht="46.8">
      <c r="A28" s="369" t="s">
        <v>307</v>
      </c>
      <c r="B28" s="370" t="s">
        <v>308</v>
      </c>
      <c r="C28" s="371" t="s">
        <v>410</v>
      </c>
      <c r="D28" s="370" t="s">
        <v>411</v>
      </c>
      <c r="E28" s="370" t="s">
        <v>412</v>
      </c>
      <c r="F28" s="372" t="s">
        <v>438</v>
      </c>
    </row>
    <row r="29" spans="1:6" ht="46.8">
      <c r="A29" s="369" t="s">
        <v>413</v>
      </c>
      <c r="B29" s="370" t="s">
        <v>414</v>
      </c>
      <c r="C29" s="371" t="s">
        <v>415</v>
      </c>
      <c r="D29" s="370" t="s">
        <v>416</v>
      </c>
      <c r="E29" s="370" t="s">
        <v>417</v>
      </c>
      <c r="F29" s="372" t="s">
        <v>439</v>
      </c>
    </row>
    <row r="30" spans="1:6" ht="78.599999999999994" thickBot="1">
      <c r="A30" s="373" t="s">
        <v>418</v>
      </c>
      <c r="B30" s="374" t="s">
        <v>419</v>
      </c>
      <c r="C30" s="375" t="s">
        <v>420</v>
      </c>
      <c r="D30" s="374" t="s">
        <v>421</v>
      </c>
      <c r="E30" s="374" t="s">
        <v>422</v>
      </c>
      <c r="F30" s="376" t="s">
        <v>440</v>
      </c>
    </row>
    <row r="31" spans="1:6">
      <c r="C31" s="377"/>
      <c r="D31" s="693" t="s">
        <v>423</v>
      </c>
      <c r="E31" s="694"/>
    </row>
    <row r="32" spans="1:6">
      <c r="C32" s="377"/>
      <c r="D32" s="693"/>
      <c r="E32" s="694"/>
    </row>
    <row r="33" spans="1:5" ht="15.6" thickBot="1">
      <c r="C33" s="377"/>
      <c r="D33" s="695"/>
      <c r="E33" s="696"/>
    </row>
    <row r="34" spans="1:5">
      <c r="C34" s="378"/>
    </row>
    <row r="35" spans="1:5">
      <c r="B35" s="379"/>
      <c r="C35" s="380"/>
    </row>
    <row r="36" spans="1:5">
      <c r="A36" s="381"/>
      <c r="C36" s="381"/>
    </row>
    <row r="37" spans="1:5">
      <c r="A37" s="381"/>
      <c r="C37" s="381"/>
    </row>
  </sheetData>
  <mergeCells count="11">
    <mergeCell ref="F12:F13"/>
    <mergeCell ref="D31:E33"/>
    <mergeCell ref="A5:E5"/>
    <mergeCell ref="A7:E7"/>
    <mergeCell ref="A8:E8"/>
    <mergeCell ref="A10:D10"/>
    <mergeCell ref="A12:A13"/>
    <mergeCell ref="B12:B13"/>
    <mergeCell ref="C12:C13"/>
    <mergeCell ref="D12:D13"/>
    <mergeCell ref="E12:E13"/>
  </mergeCells>
  <hyperlinks>
    <hyperlink ref="C24" r:id="rId1" xr:uid="{E0B63CF4-0621-4D21-BABE-6A0BB1532BE5}"/>
    <hyperlink ref="C15" r:id="rId2" display="contato@dynatest.com.br" xr:uid="{E914DB1A-577E-4B35-840B-A16E7D9FAF7B}"/>
    <hyperlink ref="C16" r:id="rId3" xr:uid="{010CAB29-2802-45A3-A55F-1248F9899771}"/>
    <hyperlink ref="C18" r:id="rId4" display="atendimento@srengenharia.net" xr:uid="{2D1B1637-CE1C-4AC0-8D5A-286F0C967E84}"/>
    <hyperlink ref="C19" r:id="rId5" xr:uid="{B172DBDB-D02B-4449-A0E8-66361D5D0DAB}"/>
    <hyperlink ref="C20" r:id="rId6" display="engenharia@copavel.com.br" xr:uid="{00E74B0E-25FB-48E4-9771-A85EE6B8A8A3}"/>
    <hyperlink ref="C21" r:id="rId7" xr:uid="{563DB9FD-B2A1-481B-B24F-C9E67D33F243}"/>
    <hyperlink ref="C22" r:id="rId8" display="comercial@planservi.com.br" xr:uid="{EF6BBB4A-6419-4B33-BAB5-A9E2B0A8EB17}"/>
    <hyperlink ref="C23" r:id="rId9" xr:uid="{ACDF7A82-1B0C-4288-A1B8-8380BB537D9B}"/>
    <hyperlink ref="C25" r:id="rId10" xr:uid="{37B281F4-79F3-4597-8D34-32C5D3E5713B}"/>
    <hyperlink ref="C26" r:id="rId11" xr:uid="{3E6B01C5-3024-4A56-B9E0-E5F37728E2EC}"/>
    <hyperlink ref="C27" r:id="rId12" display="contato@magnaeng.com.br" xr:uid="{673802BA-4365-420A-BD60-296F8608856F}"/>
    <hyperlink ref="C28" r:id="rId13" xr:uid="{450D6B51-78A6-41CC-8F86-35EE4C909450}"/>
    <hyperlink ref="C29" r:id="rId14" xr:uid="{5AAFD557-D531-4820-B9B8-5E4215DC7966}"/>
    <hyperlink ref="C30" r:id="rId15" xr:uid="{7777C9DE-4FE4-4D69-8256-EE769CFD82FD}"/>
  </hyperlinks>
  <pageMargins left="0.511811024" right="0.511811024" top="0.78740157499999996" bottom="0.78740157499999996" header="0.31496062000000002" footer="0.31496062000000002"/>
  <pageSetup paperSize="9" scale="73" orientation="landscape" r:id="rId16"/>
  <drawing r:id="rId17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9DC28-8F0B-4890-A3ED-DF9BAC512A35}">
  <sheetPr>
    <tabColor theme="7" tint="0.39997558519241921"/>
  </sheetPr>
  <dimension ref="A1:P12"/>
  <sheetViews>
    <sheetView workbookViewId="0">
      <selection activeCell="K5" sqref="K5"/>
    </sheetView>
  </sheetViews>
  <sheetFormatPr defaultColWidth="9.109375" defaultRowHeight="13.2"/>
  <cols>
    <col min="1" max="1" width="5" style="454" customWidth="1"/>
    <col min="2" max="2" width="27.5546875" style="454" customWidth="1"/>
    <col min="3" max="11" width="9.109375" style="454"/>
    <col min="12" max="12" width="9.109375" style="454" customWidth="1"/>
    <col min="13" max="14" width="9.109375" style="454"/>
    <col min="15" max="15" width="21.5546875" style="454" customWidth="1"/>
    <col min="16" max="16384" width="9.109375" style="455"/>
  </cols>
  <sheetData>
    <row r="1" spans="1:16" ht="15.6">
      <c r="A1" s="453" t="s">
        <v>534</v>
      </c>
    </row>
    <row r="3" spans="1:16" s="456" customFormat="1" ht="20.100000000000001" customHeight="1">
      <c r="A3" s="710" t="s">
        <v>535</v>
      </c>
      <c r="B3" s="710"/>
      <c r="C3" s="711" t="s">
        <v>518</v>
      </c>
      <c r="D3" s="712"/>
      <c r="E3" s="710" t="s">
        <v>546</v>
      </c>
      <c r="F3" s="713" t="s">
        <v>483</v>
      </c>
      <c r="G3" s="713"/>
      <c r="H3" s="710" t="s">
        <v>546</v>
      </c>
      <c r="I3" s="713" t="s">
        <v>520</v>
      </c>
      <c r="J3" s="713"/>
      <c r="K3" s="710" t="s">
        <v>546</v>
      </c>
      <c r="L3" s="713" t="s">
        <v>483</v>
      </c>
      <c r="M3" s="713"/>
      <c r="N3" s="710" t="s">
        <v>546</v>
      </c>
      <c r="O3" s="713" t="s">
        <v>485</v>
      </c>
      <c r="P3" s="709" t="s">
        <v>547</v>
      </c>
    </row>
    <row r="4" spans="1:16" s="456" customFormat="1" ht="20.100000000000001" customHeight="1">
      <c r="A4" s="710"/>
      <c r="B4" s="710"/>
      <c r="C4" s="457" t="s">
        <v>487</v>
      </c>
      <c r="D4" s="457" t="s">
        <v>488</v>
      </c>
      <c r="E4" s="710"/>
      <c r="F4" s="457" t="s">
        <v>521</v>
      </c>
      <c r="G4" s="457" t="s">
        <v>522</v>
      </c>
      <c r="H4" s="710"/>
      <c r="I4" s="457" t="s">
        <v>487</v>
      </c>
      <c r="J4" s="457" t="s">
        <v>488</v>
      </c>
      <c r="K4" s="710"/>
      <c r="L4" s="457" t="s">
        <v>521</v>
      </c>
      <c r="M4" s="457" t="s">
        <v>522</v>
      </c>
      <c r="N4" s="710"/>
      <c r="O4" s="713"/>
      <c r="P4" s="709"/>
    </row>
    <row r="5" spans="1:16" ht="42" customHeight="1">
      <c r="A5" s="458" t="s">
        <v>491</v>
      </c>
      <c r="B5" s="459" t="s">
        <v>523</v>
      </c>
      <c r="C5" s="460">
        <v>43711</v>
      </c>
      <c r="D5" s="460">
        <v>43769</v>
      </c>
      <c r="E5" s="461">
        <f>NETWORKDAYS(C5,D5,)</f>
        <v>43</v>
      </c>
      <c r="F5" s="460"/>
      <c r="G5" s="460"/>
      <c r="H5" s="461">
        <f>NETWORKDAYS(F5,G5,)</f>
        <v>0</v>
      </c>
      <c r="I5" s="460">
        <v>44082</v>
      </c>
      <c r="J5" s="460">
        <v>44134</v>
      </c>
      <c r="K5" s="461">
        <f>NETWORKDAYS(I5,J5,)</f>
        <v>39</v>
      </c>
      <c r="L5" s="460"/>
      <c r="M5" s="460"/>
      <c r="N5" s="461">
        <f>NETWORKDAYS(L5,M5,)</f>
        <v>0</v>
      </c>
      <c r="O5" s="462" t="s">
        <v>536</v>
      </c>
      <c r="P5" s="465">
        <f>AVERAGE(SUM(E5,H5),SUM(K5,N5))</f>
        <v>41</v>
      </c>
    </row>
    <row r="6" spans="1:16" ht="20.100000000000001" customHeight="1">
      <c r="A6" s="708" t="s">
        <v>496</v>
      </c>
      <c r="B6" s="459" t="s">
        <v>537</v>
      </c>
      <c r="C6" s="460">
        <v>43709</v>
      </c>
      <c r="D6" s="460">
        <v>43769</v>
      </c>
      <c r="E6" s="461">
        <f t="shared" ref="E6:E9" si="0">NETWORKDAYS(C6,D6,)</f>
        <v>44</v>
      </c>
      <c r="F6" s="460"/>
      <c r="G6" s="460"/>
      <c r="H6" s="461">
        <f t="shared" ref="H6:H9" si="1">NETWORKDAYS(F6,G6,)</f>
        <v>0</v>
      </c>
      <c r="I6" s="460">
        <v>44092</v>
      </c>
      <c r="J6" s="460">
        <v>44132</v>
      </c>
      <c r="K6" s="461">
        <f t="shared" ref="K6:K9" si="2">NETWORKDAYS(I6,J6,)</f>
        <v>29</v>
      </c>
      <c r="L6" s="460"/>
      <c r="M6" s="460"/>
      <c r="N6" s="461">
        <f t="shared" ref="N6:N9" si="3">NETWORKDAYS(L6,M6,)</f>
        <v>0</v>
      </c>
      <c r="O6" s="463" t="s">
        <v>538</v>
      </c>
      <c r="P6" s="465">
        <f t="shared" ref="P6:P9" si="4">AVERAGE(SUM(E6,H6),SUM(K6,N6))</f>
        <v>36.5</v>
      </c>
    </row>
    <row r="7" spans="1:16" ht="20.100000000000001" customHeight="1">
      <c r="A7" s="708"/>
      <c r="B7" s="459" t="s">
        <v>539</v>
      </c>
      <c r="C7" s="460">
        <v>43709</v>
      </c>
      <c r="D7" s="460">
        <v>43769</v>
      </c>
      <c r="E7" s="461">
        <f t="shared" si="0"/>
        <v>44</v>
      </c>
      <c r="F7" s="460"/>
      <c r="G7" s="460"/>
      <c r="H7" s="461">
        <f t="shared" si="1"/>
        <v>0</v>
      </c>
      <c r="I7" s="460">
        <v>44075</v>
      </c>
      <c r="J7" s="460">
        <v>44135</v>
      </c>
      <c r="K7" s="461">
        <f t="shared" si="2"/>
        <v>44</v>
      </c>
      <c r="L7" s="460"/>
      <c r="M7" s="460"/>
      <c r="N7" s="461">
        <f t="shared" si="3"/>
        <v>0</v>
      </c>
      <c r="O7" s="463" t="s">
        <v>538</v>
      </c>
      <c r="P7" s="465">
        <f t="shared" si="4"/>
        <v>44</v>
      </c>
    </row>
    <row r="8" spans="1:16" ht="20.100000000000001" customHeight="1">
      <c r="A8" s="458" t="s">
        <v>502</v>
      </c>
      <c r="B8" s="459" t="s">
        <v>528</v>
      </c>
      <c r="C8" s="460">
        <v>43726</v>
      </c>
      <c r="D8" s="460">
        <v>43769</v>
      </c>
      <c r="E8" s="461">
        <f t="shared" si="0"/>
        <v>32</v>
      </c>
      <c r="F8" s="460"/>
      <c r="G8" s="460"/>
      <c r="H8" s="461">
        <f t="shared" si="1"/>
        <v>0</v>
      </c>
      <c r="I8" s="460">
        <v>44084</v>
      </c>
      <c r="J8" s="460">
        <v>44132</v>
      </c>
      <c r="K8" s="461">
        <f t="shared" si="2"/>
        <v>35</v>
      </c>
      <c r="L8" s="460"/>
      <c r="M8" s="460"/>
      <c r="N8" s="461">
        <f t="shared" si="3"/>
        <v>0</v>
      </c>
      <c r="O8" s="463" t="s">
        <v>538</v>
      </c>
      <c r="P8" s="465">
        <f t="shared" si="4"/>
        <v>33.5</v>
      </c>
    </row>
    <row r="9" spans="1:16" ht="20.100000000000001" customHeight="1">
      <c r="A9" s="458" t="s">
        <v>506</v>
      </c>
      <c r="B9" s="459" t="s">
        <v>531</v>
      </c>
      <c r="C9" s="460">
        <v>43736</v>
      </c>
      <c r="D9" s="460">
        <v>43763</v>
      </c>
      <c r="E9" s="461">
        <f t="shared" si="0"/>
        <v>20</v>
      </c>
      <c r="F9" s="460"/>
      <c r="G9" s="460"/>
      <c r="H9" s="461">
        <f t="shared" si="1"/>
        <v>0</v>
      </c>
      <c r="I9" s="460">
        <v>44076</v>
      </c>
      <c r="J9" s="460">
        <v>44135</v>
      </c>
      <c r="K9" s="461">
        <f t="shared" si="2"/>
        <v>43</v>
      </c>
      <c r="L9" s="460"/>
      <c r="M9" s="460"/>
      <c r="N9" s="461">
        <f t="shared" si="3"/>
        <v>0</v>
      </c>
      <c r="O9" s="463" t="s">
        <v>538</v>
      </c>
      <c r="P9" s="465">
        <f t="shared" si="4"/>
        <v>31.5</v>
      </c>
    </row>
    <row r="10" spans="1:16">
      <c r="P10" s="465">
        <f>SUM(P5:P9)</f>
        <v>186.5</v>
      </c>
    </row>
    <row r="12" spans="1:16">
      <c r="E12" s="454">
        <f>NETWORKDAYS(C5,D5)</f>
        <v>43</v>
      </c>
    </row>
  </sheetData>
  <mergeCells count="12">
    <mergeCell ref="A6:A7"/>
    <mergeCell ref="P3:P4"/>
    <mergeCell ref="A3:B4"/>
    <mergeCell ref="C3:D3"/>
    <mergeCell ref="E3:E4"/>
    <mergeCell ref="F3:G3"/>
    <mergeCell ref="H3:H4"/>
    <mergeCell ref="I3:J3"/>
    <mergeCell ref="K3:K4"/>
    <mergeCell ref="L3:M3"/>
    <mergeCell ref="N3:N4"/>
    <mergeCell ref="O3:O4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DF9B4-2E5C-4D11-B3F1-655FAA3BE1C2}">
  <sheetPr>
    <tabColor theme="7" tint="0.39997558519241921"/>
  </sheetPr>
  <dimension ref="A3:W10"/>
  <sheetViews>
    <sheetView zoomScale="85" zoomScaleNormal="85" workbookViewId="0">
      <pane xSplit="2" ySplit="4" topLeftCell="C5" activePane="bottomRight" state="frozen"/>
      <selection activeCell="K5" sqref="K5"/>
      <selection pane="topRight" activeCell="K5" sqref="K5"/>
      <selection pane="bottomLeft" activeCell="K5" sqref="K5"/>
      <selection pane="bottomRight" activeCell="K5" sqref="K5"/>
    </sheetView>
  </sheetViews>
  <sheetFormatPr defaultRowHeight="14.4"/>
  <cols>
    <col min="2" max="2" width="31.109375" customWidth="1"/>
    <col min="3" max="4" width="12.88671875" style="452" customWidth="1"/>
    <col min="5" max="5" width="9.33203125" customWidth="1"/>
    <col min="6" max="7" width="11.88671875" customWidth="1"/>
    <col min="8" max="8" width="9.33203125" customWidth="1"/>
    <col min="9" max="10" width="11.44140625" customWidth="1"/>
    <col min="11" max="11" width="9.33203125" customWidth="1"/>
    <col min="12" max="13" width="12.33203125" customWidth="1"/>
    <col min="14" max="14" width="9.33203125" customWidth="1"/>
    <col min="15" max="15" width="18.88671875" customWidth="1"/>
    <col min="16" max="17" width="11.5546875" bestFit="1" customWidth="1"/>
    <col min="18" max="18" width="9.33203125" bestFit="1" customWidth="1"/>
    <col min="19" max="20" width="11.5546875" bestFit="1" customWidth="1"/>
    <col min="21" max="21" width="9.33203125" bestFit="1" customWidth="1"/>
    <col min="22" max="22" width="33.44140625" customWidth="1"/>
  </cols>
  <sheetData>
    <row r="3" spans="1:23" ht="15" customHeight="1">
      <c r="A3" s="721" t="s">
        <v>517</v>
      </c>
      <c r="B3" s="722"/>
      <c r="C3" s="725" t="s">
        <v>518</v>
      </c>
      <c r="D3" s="726"/>
      <c r="E3" s="727" t="s">
        <v>519</v>
      </c>
      <c r="F3" s="714" t="s">
        <v>483</v>
      </c>
      <c r="G3" s="714"/>
      <c r="H3" s="727" t="s">
        <v>519</v>
      </c>
      <c r="I3" s="714" t="s">
        <v>520</v>
      </c>
      <c r="J3" s="714"/>
      <c r="K3" s="727" t="s">
        <v>519</v>
      </c>
      <c r="L3" s="714" t="s">
        <v>483</v>
      </c>
      <c r="M3" s="714"/>
      <c r="N3" s="727" t="s">
        <v>519</v>
      </c>
      <c r="O3" s="714" t="s">
        <v>485</v>
      </c>
      <c r="P3" s="728" t="s">
        <v>486</v>
      </c>
      <c r="Q3" s="729"/>
      <c r="R3" s="717" t="s">
        <v>482</v>
      </c>
      <c r="S3" s="715" t="s">
        <v>483</v>
      </c>
      <c r="T3" s="716"/>
      <c r="U3" s="717" t="s">
        <v>482</v>
      </c>
      <c r="V3" s="719" t="s">
        <v>485</v>
      </c>
      <c r="W3" s="709" t="s">
        <v>547</v>
      </c>
    </row>
    <row r="4" spans="1:23" ht="25.5" customHeight="1">
      <c r="A4" s="723"/>
      <c r="B4" s="724"/>
      <c r="C4" s="446" t="s">
        <v>487</v>
      </c>
      <c r="D4" s="446" t="s">
        <v>488</v>
      </c>
      <c r="E4" s="727"/>
      <c r="F4" s="446" t="s">
        <v>521</v>
      </c>
      <c r="G4" s="446" t="s">
        <v>522</v>
      </c>
      <c r="H4" s="727"/>
      <c r="I4" s="446" t="s">
        <v>487</v>
      </c>
      <c r="J4" s="446" t="s">
        <v>488</v>
      </c>
      <c r="K4" s="727"/>
      <c r="L4" s="446" t="s">
        <v>521</v>
      </c>
      <c r="M4" s="446" t="s">
        <v>522</v>
      </c>
      <c r="N4" s="727"/>
      <c r="O4" s="714"/>
      <c r="P4" s="437" t="s">
        <v>487</v>
      </c>
      <c r="Q4" s="437" t="s">
        <v>488</v>
      </c>
      <c r="R4" s="718"/>
      <c r="S4" s="437" t="s">
        <v>489</v>
      </c>
      <c r="T4" s="437" t="s">
        <v>490</v>
      </c>
      <c r="U4" s="718"/>
      <c r="V4" s="719"/>
      <c r="W4" s="709"/>
    </row>
    <row r="5" spans="1:23" ht="39.75" customHeight="1">
      <c r="A5" s="447" t="s">
        <v>491</v>
      </c>
      <c r="B5" s="448" t="s">
        <v>523</v>
      </c>
      <c r="C5" s="444">
        <v>43562</v>
      </c>
      <c r="D5" s="444">
        <v>43615</v>
      </c>
      <c r="E5" s="461">
        <f>NETWORKDAYS(C5,D5,)</f>
        <v>39</v>
      </c>
      <c r="F5" s="444"/>
      <c r="G5" s="444"/>
      <c r="H5" s="461">
        <f>NETWORKDAYS(F5,G5,)</f>
        <v>0</v>
      </c>
      <c r="I5" s="444">
        <v>43959</v>
      </c>
      <c r="J5" s="444">
        <v>44000</v>
      </c>
      <c r="K5" s="461">
        <f>NETWORKDAYS(I5,J5,)</f>
        <v>30</v>
      </c>
      <c r="L5" s="444"/>
      <c r="M5" s="444"/>
      <c r="N5" s="461">
        <f>NETWORKDAYS(L5,M5,)</f>
        <v>0</v>
      </c>
      <c r="O5" s="442" t="s">
        <v>494</v>
      </c>
      <c r="P5" s="440">
        <v>44306</v>
      </c>
      <c r="Q5" s="440">
        <v>44405</v>
      </c>
      <c r="R5" s="441">
        <f>NETWORKDAYS(P5,Q5,)</f>
        <v>72</v>
      </c>
      <c r="S5" s="441"/>
      <c r="T5" s="441"/>
      <c r="U5" s="441">
        <f>NETWORKDAYS(S5,T5,)</f>
        <v>0</v>
      </c>
      <c r="V5" s="449" t="s">
        <v>524</v>
      </c>
      <c r="W5" s="465">
        <f>AVERAGE(SUM(E5,H5),SUM(K5,N5),SUM(R5,U5))</f>
        <v>47</v>
      </c>
    </row>
    <row r="6" spans="1:23" ht="42.75" customHeight="1">
      <c r="A6" s="720" t="s">
        <v>496</v>
      </c>
      <c r="B6" s="448" t="s">
        <v>497</v>
      </c>
      <c r="C6" s="444">
        <v>43595</v>
      </c>
      <c r="D6" s="444">
        <v>43646</v>
      </c>
      <c r="E6" s="461">
        <f t="shared" ref="E6:E9" si="0">NETWORKDAYS(C6,D6,)</f>
        <v>36</v>
      </c>
      <c r="F6" s="450">
        <v>43648</v>
      </c>
      <c r="G6" s="450">
        <v>43664</v>
      </c>
      <c r="H6" s="461">
        <f t="shared" ref="H6:H9" si="1">NETWORKDAYS(F6,G6,)</f>
        <v>13</v>
      </c>
      <c r="I6" s="444">
        <v>43962</v>
      </c>
      <c r="J6" s="444">
        <v>44021</v>
      </c>
      <c r="K6" s="461">
        <f t="shared" ref="K6:K9" si="2">NETWORKDAYS(I6,J6,)</f>
        <v>44</v>
      </c>
      <c r="L6" s="450">
        <v>44034</v>
      </c>
      <c r="M6" s="450">
        <v>44040</v>
      </c>
      <c r="N6" s="461">
        <f t="shared" ref="N6:N9" si="3">NETWORKDAYS(L6,M6,)</f>
        <v>5</v>
      </c>
      <c r="O6" s="442" t="s">
        <v>525</v>
      </c>
      <c r="P6" s="444">
        <v>44326</v>
      </c>
      <c r="Q6" s="440">
        <v>44385</v>
      </c>
      <c r="R6" s="441">
        <f t="shared" ref="R6:R9" si="4">NETWORKDAYS(P6,Q6,)</f>
        <v>44</v>
      </c>
      <c r="S6" s="440">
        <v>44396</v>
      </c>
      <c r="T6" s="440">
        <v>44406</v>
      </c>
      <c r="U6" s="441">
        <f t="shared" ref="U6:U9" si="5">NETWORKDAYS(S6,T6,)</f>
        <v>9</v>
      </c>
      <c r="V6" s="449" t="s">
        <v>513</v>
      </c>
      <c r="W6" s="465">
        <f t="shared" ref="W6:W9" si="6">AVERAGE(SUM(E6,H6),SUM(K6,N6),SUM(R6,U6))</f>
        <v>50.333333333333336</v>
      </c>
    </row>
    <row r="7" spans="1:23" ht="42.75" customHeight="1">
      <c r="A7" s="720"/>
      <c r="B7" s="448" t="s">
        <v>499</v>
      </c>
      <c r="C7" s="444">
        <v>43592</v>
      </c>
      <c r="D7" s="444">
        <v>43646</v>
      </c>
      <c r="E7" s="461">
        <f t="shared" si="0"/>
        <v>39</v>
      </c>
      <c r="F7" s="450">
        <v>43656</v>
      </c>
      <c r="G7" s="450">
        <v>43668</v>
      </c>
      <c r="H7" s="461">
        <f t="shared" si="1"/>
        <v>9</v>
      </c>
      <c r="I7" s="444">
        <v>43971</v>
      </c>
      <c r="J7" s="444">
        <v>44021</v>
      </c>
      <c r="K7" s="461">
        <f t="shared" si="2"/>
        <v>37</v>
      </c>
      <c r="L7" s="450">
        <v>44034</v>
      </c>
      <c r="M7" s="450">
        <v>44040</v>
      </c>
      <c r="N7" s="461">
        <f t="shared" si="3"/>
        <v>5</v>
      </c>
      <c r="O7" s="442" t="s">
        <v>526</v>
      </c>
      <c r="P7" s="444">
        <v>44327</v>
      </c>
      <c r="Q7" s="440">
        <v>44385</v>
      </c>
      <c r="R7" s="441">
        <f t="shared" si="4"/>
        <v>43</v>
      </c>
      <c r="S7" s="440">
        <v>44396</v>
      </c>
      <c r="T7" s="440">
        <v>44411</v>
      </c>
      <c r="U7" s="441">
        <f t="shared" si="5"/>
        <v>12</v>
      </c>
      <c r="V7" s="449" t="s">
        <v>527</v>
      </c>
      <c r="W7" s="465">
        <f t="shared" si="6"/>
        <v>48.333333333333336</v>
      </c>
    </row>
    <row r="8" spans="1:23" ht="42.75" customHeight="1">
      <c r="A8" s="447" t="s">
        <v>502</v>
      </c>
      <c r="B8" s="448" t="s">
        <v>528</v>
      </c>
      <c r="C8" s="444">
        <v>43530</v>
      </c>
      <c r="D8" s="444">
        <v>43585</v>
      </c>
      <c r="E8" s="461">
        <f t="shared" si="0"/>
        <v>40</v>
      </c>
      <c r="F8" s="444"/>
      <c r="G8" s="444"/>
      <c r="H8" s="461">
        <f t="shared" si="1"/>
        <v>0</v>
      </c>
      <c r="I8" s="444">
        <v>43892</v>
      </c>
      <c r="J8" s="444">
        <v>43951</v>
      </c>
      <c r="K8" s="461">
        <f t="shared" si="2"/>
        <v>44</v>
      </c>
      <c r="L8" s="444"/>
      <c r="M8" s="444"/>
      <c r="N8" s="461">
        <f t="shared" si="3"/>
        <v>0</v>
      </c>
      <c r="O8" s="442" t="s">
        <v>529</v>
      </c>
      <c r="P8" s="444">
        <v>44256</v>
      </c>
      <c r="Q8" s="440">
        <v>44315</v>
      </c>
      <c r="R8" s="441">
        <f t="shared" si="4"/>
        <v>44</v>
      </c>
      <c r="S8" s="440"/>
      <c r="T8" s="440"/>
      <c r="U8" s="441">
        <f>NETWORKDAYS(S8,T8,)</f>
        <v>0</v>
      </c>
      <c r="V8" s="449" t="s">
        <v>530</v>
      </c>
      <c r="W8" s="465">
        <f t="shared" si="6"/>
        <v>42.666666666666664</v>
      </c>
    </row>
    <row r="9" spans="1:23" ht="33.9" customHeight="1">
      <c r="A9" s="447" t="s">
        <v>506</v>
      </c>
      <c r="B9" s="448" t="s">
        <v>531</v>
      </c>
      <c r="C9" s="444">
        <v>43514</v>
      </c>
      <c r="D9" s="444">
        <v>43573</v>
      </c>
      <c r="E9" s="461">
        <f t="shared" si="0"/>
        <v>44</v>
      </c>
      <c r="F9" s="444"/>
      <c r="G9" s="444"/>
      <c r="H9" s="461">
        <f t="shared" si="1"/>
        <v>0</v>
      </c>
      <c r="I9" s="444">
        <v>43878</v>
      </c>
      <c r="J9" s="444">
        <v>43937</v>
      </c>
      <c r="K9" s="461">
        <f t="shared" si="2"/>
        <v>44</v>
      </c>
      <c r="L9" s="444"/>
      <c r="M9" s="444"/>
      <c r="N9" s="461">
        <f t="shared" si="3"/>
        <v>0</v>
      </c>
      <c r="O9" s="439" t="s">
        <v>508</v>
      </c>
      <c r="P9" s="444">
        <v>44245</v>
      </c>
      <c r="Q9" s="440">
        <v>44302</v>
      </c>
      <c r="R9" s="441">
        <f t="shared" si="4"/>
        <v>42</v>
      </c>
      <c r="S9" s="440"/>
      <c r="T9" s="440"/>
      <c r="U9" s="441">
        <f t="shared" si="5"/>
        <v>0</v>
      </c>
      <c r="V9" s="451"/>
      <c r="W9" s="465">
        <f t="shared" si="6"/>
        <v>43.333333333333336</v>
      </c>
    </row>
    <row r="10" spans="1:23">
      <c r="W10" s="467">
        <f>SUM(W5:W9)</f>
        <v>231.66666666666669</v>
      </c>
    </row>
  </sheetData>
  <mergeCells count="17">
    <mergeCell ref="W3:W4"/>
    <mergeCell ref="K3:K4"/>
    <mergeCell ref="L3:M3"/>
    <mergeCell ref="N3:N4"/>
    <mergeCell ref="O3:O4"/>
    <mergeCell ref="P3:Q3"/>
    <mergeCell ref="R3:R4"/>
    <mergeCell ref="I3:J3"/>
    <mergeCell ref="S3:T3"/>
    <mergeCell ref="U3:U4"/>
    <mergeCell ref="V3:V4"/>
    <mergeCell ref="A6:A7"/>
    <mergeCell ref="A3:B4"/>
    <mergeCell ref="C3:D3"/>
    <mergeCell ref="E3:E4"/>
    <mergeCell ref="F3:G3"/>
    <mergeCell ref="H3:H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98300-2FBF-4779-BB28-EB00443FD6EC}">
  <sheetPr>
    <tabColor theme="7" tint="0.39997558519241921"/>
  </sheetPr>
  <dimension ref="A1:P12"/>
  <sheetViews>
    <sheetView topLeftCell="B1" workbookViewId="0">
      <selection activeCell="K5" sqref="K5"/>
    </sheetView>
  </sheetViews>
  <sheetFormatPr defaultColWidth="9.109375" defaultRowHeight="13.2"/>
  <cols>
    <col min="1" max="1" width="5" style="454" customWidth="1"/>
    <col min="2" max="2" width="27.5546875" style="454" customWidth="1"/>
    <col min="3" max="11" width="9.109375" style="454"/>
    <col min="12" max="12" width="9.109375" style="454" customWidth="1"/>
    <col min="13" max="14" width="9.109375" style="454"/>
    <col min="15" max="15" width="58.44140625" style="454" customWidth="1"/>
    <col min="16" max="16384" width="9.109375" style="455"/>
  </cols>
  <sheetData>
    <row r="1" spans="1:16" ht="15.6">
      <c r="A1" s="453" t="s">
        <v>540</v>
      </c>
    </row>
    <row r="3" spans="1:16" s="456" customFormat="1" ht="20.100000000000001" customHeight="1">
      <c r="A3" s="710" t="s">
        <v>535</v>
      </c>
      <c r="B3" s="710"/>
      <c r="C3" s="711" t="s">
        <v>518</v>
      </c>
      <c r="D3" s="712"/>
      <c r="E3" s="710" t="s">
        <v>519</v>
      </c>
      <c r="F3" s="713" t="s">
        <v>483</v>
      </c>
      <c r="G3" s="713"/>
      <c r="H3" s="710" t="s">
        <v>519</v>
      </c>
      <c r="I3" s="713" t="s">
        <v>520</v>
      </c>
      <c r="J3" s="713"/>
      <c r="K3" s="710" t="s">
        <v>519</v>
      </c>
      <c r="L3" s="713" t="s">
        <v>483</v>
      </c>
      <c r="M3" s="713"/>
      <c r="N3" s="710" t="s">
        <v>519</v>
      </c>
      <c r="O3" s="713" t="s">
        <v>485</v>
      </c>
    </row>
    <row r="4" spans="1:16" s="456" customFormat="1" ht="20.100000000000001" customHeight="1">
      <c r="A4" s="710"/>
      <c r="B4" s="710"/>
      <c r="C4" s="457" t="s">
        <v>487</v>
      </c>
      <c r="D4" s="457" t="s">
        <v>488</v>
      </c>
      <c r="E4" s="710"/>
      <c r="F4" s="457" t="s">
        <v>521</v>
      </c>
      <c r="G4" s="457" t="s">
        <v>522</v>
      </c>
      <c r="H4" s="710"/>
      <c r="I4" s="457" t="s">
        <v>487</v>
      </c>
      <c r="J4" s="457" t="s">
        <v>488</v>
      </c>
      <c r="K4" s="710"/>
      <c r="L4" s="457" t="s">
        <v>521</v>
      </c>
      <c r="M4" s="457" t="s">
        <v>522</v>
      </c>
      <c r="N4" s="710"/>
      <c r="O4" s="713"/>
    </row>
    <row r="5" spans="1:16" ht="20.100000000000001" customHeight="1">
      <c r="A5" s="458" t="s">
        <v>491</v>
      </c>
      <c r="B5" s="459" t="s">
        <v>523</v>
      </c>
      <c r="C5" s="460">
        <v>43697</v>
      </c>
      <c r="D5" s="460">
        <v>43727</v>
      </c>
      <c r="E5" s="461">
        <f>NETWORKDAYS(C5,D5,)</f>
        <v>23</v>
      </c>
      <c r="F5" s="464"/>
      <c r="G5" s="464"/>
      <c r="H5" s="461">
        <f>NETWORKDAYS(F5,G5,)</f>
        <v>0</v>
      </c>
      <c r="I5" s="460">
        <v>44071</v>
      </c>
      <c r="J5" s="460">
        <v>44087</v>
      </c>
      <c r="K5" s="461">
        <f>NETWORKDAYS(I5,J5,)</f>
        <v>11</v>
      </c>
      <c r="L5" s="464"/>
      <c r="M5" s="464"/>
      <c r="N5" s="461">
        <f>NETWORKDAYS(L5,M5,)</f>
        <v>0</v>
      </c>
      <c r="O5" s="463"/>
      <c r="P5" s="465">
        <f>AVERAGE(SUM(E5,H5),SUM(K5,N5))</f>
        <v>17</v>
      </c>
    </row>
    <row r="6" spans="1:16" ht="20.100000000000001" customHeight="1">
      <c r="A6" s="730" t="s">
        <v>496</v>
      </c>
      <c r="B6" s="459" t="s">
        <v>541</v>
      </c>
      <c r="C6" s="460">
        <v>43546</v>
      </c>
      <c r="D6" s="460">
        <v>43568</v>
      </c>
      <c r="E6" s="461">
        <f t="shared" ref="E6:E11" si="0">NETWORKDAYS(C6,D6,)</f>
        <v>16</v>
      </c>
      <c r="F6" s="464"/>
      <c r="G6" s="464"/>
      <c r="H6" s="461">
        <f t="shared" ref="H6:H11" si="1">NETWORKDAYS(F6,G6,)</f>
        <v>0</v>
      </c>
      <c r="I6" s="460">
        <v>43878</v>
      </c>
      <c r="J6" s="460">
        <v>43991</v>
      </c>
      <c r="K6" s="461">
        <f t="shared" ref="K6:K11" si="2">NETWORKDAYS(I6,J6,)</f>
        <v>82</v>
      </c>
      <c r="L6" s="464"/>
      <c r="M6" s="464"/>
      <c r="N6" s="461">
        <f t="shared" ref="N6:N11" si="3">NETWORKDAYS(L6,M6,)</f>
        <v>0</v>
      </c>
      <c r="O6" s="463" t="s">
        <v>542</v>
      </c>
      <c r="P6" s="465">
        <f t="shared" ref="P6:P11" si="4">AVERAGE(SUM(E6,H6),SUM(K6,N6))</f>
        <v>49</v>
      </c>
    </row>
    <row r="7" spans="1:16" ht="20.100000000000001" customHeight="1">
      <c r="A7" s="731"/>
      <c r="B7" s="459" t="s">
        <v>543</v>
      </c>
      <c r="C7" s="460">
        <v>43568</v>
      </c>
      <c r="D7" s="460">
        <v>43595</v>
      </c>
      <c r="E7" s="461">
        <f t="shared" si="0"/>
        <v>20</v>
      </c>
      <c r="F7" s="464"/>
      <c r="G7" s="464"/>
      <c r="H7" s="461">
        <f t="shared" si="1"/>
        <v>0</v>
      </c>
      <c r="I7" s="460">
        <v>43878</v>
      </c>
      <c r="J7" s="460">
        <v>43991</v>
      </c>
      <c r="K7" s="461">
        <f t="shared" si="2"/>
        <v>82</v>
      </c>
      <c r="L7" s="464"/>
      <c r="M7" s="464"/>
      <c r="N7" s="461">
        <f t="shared" si="3"/>
        <v>0</v>
      </c>
      <c r="O7" s="463" t="s">
        <v>542</v>
      </c>
      <c r="P7" s="465">
        <f t="shared" si="4"/>
        <v>51</v>
      </c>
    </row>
    <row r="8" spans="1:16" ht="20.100000000000001" customHeight="1">
      <c r="A8" s="731"/>
      <c r="B8" s="459" t="s">
        <v>544</v>
      </c>
      <c r="C8" s="460">
        <v>43713</v>
      </c>
      <c r="D8" s="460">
        <v>43774</v>
      </c>
      <c r="E8" s="461">
        <f t="shared" si="0"/>
        <v>44</v>
      </c>
      <c r="F8" s="464"/>
      <c r="G8" s="464"/>
      <c r="H8" s="461">
        <f t="shared" si="1"/>
        <v>0</v>
      </c>
      <c r="I8" s="460">
        <v>44081</v>
      </c>
      <c r="J8" s="460">
        <v>44141</v>
      </c>
      <c r="K8" s="461">
        <f t="shared" si="2"/>
        <v>45</v>
      </c>
      <c r="L8" s="464"/>
      <c r="M8" s="464"/>
      <c r="N8" s="461">
        <f t="shared" si="3"/>
        <v>0</v>
      </c>
      <c r="O8" s="463"/>
      <c r="P8" s="465">
        <f t="shared" si="4"/>
        <v>44.5</v>
      </c>
    </row>
    <row r="9" spans="1:16" ht="20.100000000000001" customHeight="1">
      <c r="A9" s="732"/>
      <c r="B9" s="459" t="s">
        <v>545</v>
      </c>
      <c r="C9" s="460">
        <v>43713</v>
      </c>
      <c r="D9" s="460">
        <v>43774</v>
      </c>
      <c r="E9" s="461">
        <f t="shared" si="0"/>
        <v>44</v>
      </c>
      <c r="F9" s="464"/>
      <c r="G9" s="464"/>
      <c r="H9" s="461">
        <f t="shared" si="1"/>
        <v>0</v>
      </c>
      <c r="I9" s="460">
        <v>44081</v>
      </c>
      <c r="J9" s="460">
        <v>44141</v>
      </c>
      <c r="K9" s="461">
        <f t="shared" si="2"/>
        <v>45</v>
      </c>
      <c r="L9" s="464"/>
      <c r="M9" s="464"/>
      <c r="N9" s="461">
        <f t="shared" si="3"/>
        <v>0</v>
      </c>
      <c r="O9" s="463"/>
      <c r="P9" s="465">
        <f t="shared" si="4"/>
        <v>44.5</v>
      </c>
    </row>
    <row r="10" spans="1:16" ht="20.100000000000001" customHeight="1">
      <c r="A10" s="458" t="s">
        <v>502</v>
      </c>
      <c r="B10" s="459" t="s">
        <v>528</v>
      </c>
      <c r="C10" s="460">
        <v>43713</v>
      </c>
      <c r="D10" s="460">
        <v>43774</v>
      </c>
      <c r="E10" s="461">
        <f>NETWORKDAYS(C10,D10,)</f>
        <v>44</v>
      </c>
      <c r="F10" s="464"/>
      <c r="G10" s="464"/>
      <c r="H10" s="461">
        <f>NETWORKDAYS(F10,G10,)</f>
        <v>0</v>
      </c>
      <c r="I10" s="460">
        <v>44081</v>
      </c>
      <c r="J10" s="460">
        <v>44141</v>
      </c>
      <c r="K10" s="461">
        <f t="shared" si="2"/>
        <v>45</v>
      </c>
      <c r="L10" s="464"/>
      <c r="M10" s="464"/>
      <c r="N10" s="461">
        <f t="shared" si="3"/>
        <v>0</v>
      </c>
      <c r="O10" s="463"/>
      <c r="P10" s="465">
        <f t="shared" si="4"/>
        <v>44.5</v>
      </c>
    </row>
    <row r="11" spans="1:16" ht="20.100000000000001" customHeight="1">
      <c r="A11" s="458" t="s">
        <v>506</v>
      </c>
      <c r="B11" s="459" t="s">
        <v>531</v>
      </c>
      <c r="C11" s="460">
        <v>43713</v>
      </c>
      <c r="D11" s="460">
        <v>43774</v>
      </c>
      <c r="E11" s="461">
        <f t="shared" si="0"/>
        <v>44</v>
      </c>
      <c r="F11" s="464"/>
      <c r="G11" s="464"/>
      <c r="H11" s="461">
        <f t="shared" si="1"/>
        <v>0</v>
      </c>
      <c r="I11" s="460">
        <v>44081</v>
      </c>
      <c r="J11" s="460">
        <v>44141</v>
      </c>
      <c r="K11" s="461">
        <f t="shared" si="2"/>
        <v>45</v>
      </c>
      <c r="L11" s="464"/>
      <c r="M11" s="464"/>
      <c r="N11" s="461">
        <f t="shared" si="3"/>
        <v>0</v>
      </c>
      <c r="O11" s="463"/>
      <c r="P11" s="465">
        <f t="shared" si="4"/>
        <v>44.5</v>
      </c>
    </row>
    <row r="12" spans="1:16">
      <c r="P12" s="465">
        <f>SUM(P5:P11)</f>
        <v>295</v>
      </c>
    </row>
  </sheetData>
  <mergeCells count="11">
    <mergeCell ref="K3:K4"/>
    <mergeCell ref="L3:M3"/>
    <mergeCell ref="N3:N4"/>
    <mergeCell ref="O3:O4"/>
    <mergeCell ref="A6:A9"/>
    <mergeCell ref="A3:B4"/>
    <mergeCell ref="C3:D3"/>
    <mergeCell ref="E3:E4"/>
    <mergeCell ref="F3:G3"/>
    <mergeCell ref="H3:H4"/>
    <mergeCell ref="I3:J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9CB51-93E4-496D-9733-41A98F7A2373}">
  <sheetPr>
    <tabColor theme="7" tint="0.39997558519241921"/>
  </sheetPr>
  <dimension ref="A1:M67"/>
  <sheetViews>
    <sheetView topLeftCell="A40" zoomScale="85" zoomScaleNormal="85" zoomScaleSheetLayoutView="90" workbookViewId="0">
      <selection activeCell="A45" sqref="A45"/>
    </sheetView>
  </sheetViews>
  <sheetFormatPr defaultColWidth="8.6640625" defaultRowHeight="14.4"/>
  <cols>
    <col min="1" max="1" width="8.6640625" style="9" customWidth="1"/>
    <col min="2" max="2" width="6.33203125" style="9" customWidth="1"/>
    <col min="3" max="3" width="59.109375" style="9" customWidth="1"/>
    <col min="4" max="4" width="14.33203125" style="57" bestFit="1" customWidth="1"/>
    <col min="5" max="5" width="13.109375" style="9" customWidth="1"/>
    <col min="6" max="6" width="11" style="9" bestFit="1" customWidth="1"/>
    <col min="7" max="7" width="9.5546875" style="9" bestFit="1" customWidth="1"/>
    <col min="8" max="8" width="10.5546875" style="9" bestFit="1" customWidth="1"/>
    <col min="9" max="9" width="15.33203125" style="9" customWidth="1"/>
    <col min="10" max="10" width="9" style="9" customWidth="1"/>
    <col min="11" max="11" width="9.5546875" style="150" customWidth="1"/>
    <col min="12" max="13" width="9.5546875" style="10" customWidth="1"/>
    <col min="14" max="20" width="9.5546875" style="9" customWidth="1"/>
    <col min="21" max="258" width="8.6640625" style="9"/>
    <col min="259" max="260" width="10.6640625" style="9" customWidth="1"/>
    <col min="261" max="261" width="36.6640625" style="9" customWidth="1"/>
    <col min="262" max="262" width="35.44140625" style="9" customWidth="1"/>
    <col min="263" max="263" width="14.109375" style="9" customWidth="1"/>
    <col min="264" max="264" width="16" style="9" customWidth="1"/>
    <col min="265" max="265" width="19.33203125" style="9" customWidth="1"/>
    <col min="266" max="266" width="15" style="9" customWidth="1"/>
    <col min="267" max="267" width="9.6640625" style="9" bestFit="1" customWidth="1"/>
    <col min="268" max="514" width="8.6640625" style="9"/>
    <col min="515" max="516" width="10.6640625" style="9" customWidth="1"/>
    <col min="517" max="517" width="36.6640625" style="9" customWidth="1"/>
    <col min="518" max="518" width="35.44140625" style="9" customWidth="1"/>
    <col min="519" max="519" width="14.109375" style="9" customWidth="1"/>
    <col min="520" max="520" width="16" style="9" customWidth="1"/>
    <col min="521" max="521" width="19.33203125" style="9" customWidth="1"/>
    <col min="522" max="522" width="15" style="9" customWidth="1"/>
    <col min="523" max="523" width="9.6640625" style="9" bestFit="1" customWidth="1"/>
    <col min="524" max="770" width="8.6640625" style="9"/>
    <col min="771" max="772" width="10.6640625" style="9" customWidth="1"/>
    <col min="773" max="773" width="36.6640625" style="9" customWidth="1"/>
    <col min="774" max="774" width="35.44140625" style="9" customWidth="1"/>
    <col min="775" max="775" width="14.109375" style="9" customWidth="1"/>
    <col min="776" max="776" width="16" style="9" customWidth="1"/>
    <col min="777" max="777" width="19.33203125" style="9" customWidth="1"/>
    <col min="778" max="778" width="15" style="9" customWidth="1"/>
    <col min="779" max="779" width="9.6640625" style="9" bestFit="1" customWidth="1"/>
    <col min="780" max="1026" width="8.6640625" style="9"/>
    <col min="1027" max="1028" width="10.6640625" style="9" customWidth="1"/>
    <col min="1029" max="1029" width="36.6640625" style="9" customWidth="1"/>
    <col min="1030" max="1030" width="35.44140625" style="9" customWidth="1"/>
    <col min="1031" max="1031" width="14.109375" style="9" customWidth="1"/>
    <col min="1032" max="1032" width="16" style="9" customWidth="1"/>
    <col min="1033" max="1033" width="19.33203125" style="9" customWidth="1"/>
    <col min="1034" max="1034" width="15" style="9" customWidth="1"/>
    <col min="1035" max="1035" width="9.6640625" style="9" bestFit="1" customWidth="1"/>
    <col min="1036" max="1282" width="8.6640625" style="9"/>
    <col min="1283" max="1284" width="10.6640625" style="9" customWidth="1"/>
    <col min="1285" max="1285" width="36.6640625" style="9" customWidth="1"/>
    <col min="1286" max="1286" width="35.44140625" style="9" customWidth="1"/>
    <col min="1287" max="1287" width="14.109375" style="9" customWidth="1"/>
    <col min="1288" max="1288" width="16" style="9" customWidth="1"/>
    <col min="1289" max="1289" width="19.33203125" style="9" customWidth="1"/>
    <col min="1290" max="1290" width="15" style="9" customWidth="1"/>
    <col min="1291" max="1291" width="9.6640625" style="9" bestFit="1" customWidth="1"/>
    <col min="1292" max="1538" width="8.6640625" style="9"/>
    <col min="1539" max="1540" width="10.6640625" style="9" customWidth="1"/>
    <col min="1541" max="1541" width="36.6640625" style="9" customWidth="1"/>
    <col min="1542" max="1542" width="35.44140625" style="9" customWidth="1"/>
    <col min="1543" max="1543" width="14.109375" style="9" customWidth="1"/>
    <col min="1544" max="1544" width="16" style="9" customWidth="1"/>
    <col min="1545" max="1545" width="19.33203125" style="9" customWidth="1"/>
    <col min="1546" max="1546" width="15" style="9" customWidth="1"/>
    <col min="1547" max="1547" width="9.6640625" style="9" bestFit="1" customWidth="1"/>
    <col min="1548" max="1794" width="8.6640625" style="9"/>
    <col min="1795" max="1796" width="10.6640625" style="9" customWidth="1"/>
    <col min="1797" max="1797" width="36.6640625" style="9" customWidth="1"/>
    <col min="1798" max="1798" width="35.44140625" style="9" customWidth="1"/>
    <col min="1799" max="1799" width="14.109375" style="9" customWidth="1"/>
    <col min="1800" max="1800" width="16" style="9" customWidth="1"/>
    <col min="1801" max="1801" width="19.33203125" style="9" customWidth="1"/>
    <col min="1802" max="1802" width="15" style="9" customWidth="1"/>
    <col min="1803" max="1803" width="9.6640625" style="9" bestFit="1" customWidth="1"/>
    <col min="1804" max="2050" width="8.6640625" style="9"/>
    <col min="2051" max="2052" width="10.6640625" style="9" customWidth="1"/>
    <col min="2053" max="2053" width="36.6640625" style="9" customWidth="1"/>
    <col min="2054" max="2054" width="35.44140625" style="9" customWidth="1"/>
    <col min="2055" max="2055" width="14.109375" style="9" customWidth="1"/>
    <col min="2056" max="2056" width="16" style="9" customWidth="1"/>
    <col min="2057" max="2057" width="19.33203125" style="9" customWidth="1"/>
    <col min="2058" max="2058" width="15" style="9" customWidth="1"/>
    <col min="2059" max="2059" width="9.6640625" style="9" bestFit="1" customWidth="1"/>
    <col min="2060" max="2306" width="8.6640625" style="9"/>
    <col min="2307" max="2308" width="10.6640625" style="9" customWidth="1"/>
    <col min="2309" max="2309" width="36.6640625" style="9" customWidth="1"/>
    <col min="2310" max="2310" width="35.44140625" style="9" customWidth="1"/>
    <col min="2311" max="2311" width="14.109375" style="9" customWidth="1"/>
    <col min="2312" max="2312" width="16" style="9" customWidth="1"/>
    <col min="2313" max="2313" width="19.33203125" style="9" customWidth="1"/>
    <col min="2314" max="2314" width="15" style="9" customWidth="1"/>
    <col min="2315" max="2315" width="9.6640625" style="9" bestFit="1" customWidth="1"/>
    <col min="2316" max="2562" width="8.6640625" style="9"/>
    <col min="2563" max="2564" width="10.6640625" style="9" customWidth="1"/>
    <col min="2565" max="2565" width="36.6640625" style="9" customWidth="1"/>
    <col min="2566" max="2566" width="35.44140625" style="9" customWidth="1"/>
    <col min="2567" max="2567" width="14.109375" style="9" customWidth="1"/>
    <col min="2568" max="2568" width="16" style="9" customWidth="1"/>
    <col min="2569" max="2569" width="19.33203125" style="9" customWidth="1"/>
    <col min="2570" max="2570" width="15" style="9" customWidth="1"/>
    <col min="2571" max="2571" width="9.6640625" style="9" bestFit="1" customWidth="1"/>
    <col min="2572" max="2818" width="8.6640625" style="9"/>
    <col min="2819" max="2820" width="10.6640625" style="9" customWidth="1"/>
    <col min="2821" max="2821" width="36.6640625" style="9" customWidth="1"/>
    <col min="2822" max="2822" width="35.44140625" style="9" customWidth="1"/>
    <col min="2823" max="2823" width="14.109375" style="9" customWidth="1"/>
    <col min="2824" max="2824" width="16" style="9" customWidth="1"/>
    <col min="2825" max="2825" width="19.33203125" style="9" customWidth="1"/>
    <col min="2826" max="2826" width="15" style="9" customWidth="1"/>
    <col min="2827" max="2827" width="9.6640625" style="9" bestFit="1" customWidth="1"/>
    <col min="2828" max="3074" width="8.6640625" style="9"/>
    <col min="3075" max="3076" width="10.6640625" style="9" customWidth="1"/>
    <col min="3077" max="3077" width="36.6640625" style="9" customWidth="1"/>
    <col min="3078" max="3078" width="35.44140625" style="9" customWidth="1"/>
    <col min="3079" max="3079" width="14.109375" style="9" customWidth="1"/>
    <col min="3080" max="3080" width="16" style="9" customWidth="1"/>
    <col min="3081" max="3081" width="19.33203125" style="9" customWidth="1"/>
    <col min="3082" max="3082" width="15" style="9" customWidth="1"/>
    <col min="3083" max="3083" width="9.6640625" style="9" bestFit="1" customWidth="1"/>
    <col min="3084" max="3330" width="8.6640625" style="9"/>
    <col min="3331" max="3332" width="10.6640625" style="9" customWidth="1"/>
    <col min="3333" max="3333" width="36.6640625" style="9" customWidth="1"/>
    <col min="3334" max="3334" width="35.44140625" style="9" customWidth="1"/>
    <col min="3335" max="3335" width="14.109375" style="9" customWidth="1"/>
    <col min="3336" max="3336" width="16" style="9" customWidth="1"/>
    <col min="3337" max="3337" width="19.33203125" style="9" customWidth="1"/>
    <col min="3338" max="3338" width="15" style="9" customWidth="1"/>
    <col min="3339" max="3339" width="9.6640625" style="9" bestFit="1" customWidth="1"/>
    <col min="3340" max="3586" width="8.6640625" style="9"/>
    <col min="3587" max="3588" width="10.6640625" style="9" customWidth="1"/>
    <col min="3589" max="3589" width="36.6640625" style="9" customWidth="1"/>
    <col min="3590" max="3590" width="35.44140625" style="9" customWidth="1"/>
    <col min="3591" max="3591" width="14.109375" style="9" customWidth="1"/>
    <col min="3592" max="3592" width="16" style="9" customWidth="1"/>
    <col min="3593" max="3593" width="19.33203125" style="9" customWidth="1"/>
    <col min="3594" max="3594" width="15" style="9" customWidth="1"/>
    <col min="3595" max="3595" width="9.6640625" style="9" bestFit="1" customWidth="1"/>
    <col min="3596" max="3842" width="8.6640625" style="9"/>
    <col min="3843" max="3844" width="10.6640625" style="9" customWidth="1"/>
    <col min="3845" max="3845" width="36.6640625" style="9" customWidth="1"/>
    <col min="3846" max="3846" width="35.44140625" style="9" customWidth="1"/>
    <col min="3847" max="3847" width="14.109375" style="9" customWidth="1"/>
    <col min="3848" max="3848" width="16" style="9" customWidth="1"/>
    <col min="3849" max="3849" width="19.33203125" style="9" customWidth="1"/>
    <col min="3850" max="3850" width="15" style="9" customWidth="1"/>
    <col min="3851" max="3851" width="9.6640625" style="9" bestFit="1" customWidth="1"/>
    <col min="3852" max="4098" width="8.6640625" style="9"/>
    <col min="4099" max="4100" width="10.6640625" style="9" customWidth="1"/>
    <col min="4101" max="4101" width="36.6640625" style="9" customWidth="1"/>
    <col min="4102" max="4102" width="35.44140625" style="9" customWidth="1"/>
    <col min="4103" max="4103" width="14.109375" style="9" customWidth="1"/>
    <col min="4104" max="4104" width="16" style="9" customWidth="1"/>
    <col min="4105" max="4105" width="19.33203125" style="9" customWidth="1"/>
    <col min="4106" max="4106" width="15" style="9" customWidth="1"/>
    <col min="4107" max="4107" width="9.6640625" style="9" bestFit="1" customWidth="1"/>
    <col min="4108" max="4354" width="8.6640625" style="9"/>
    <col min="4355" max="4356" width="10.6640625" style="9" customWidth="1"/>
    <col min="4357" max="4357" width="36.6640625" style="9" customWidth="1"/>
    <col min="4358" max="4358" width="35.44140625" style="9" customWidth="1"/>
    <col min="4359" max="4359" width="14.109375" style="9" customWidth="1"/>
    <col min="4360" max="4360" width="16" style="9" customWidth="1"/>
    <col min="4361" max="4361" width="19.33203125" style="9" customWidth="1"/>
    <col min="4362" max="4362" width="15" style="9" customWidth="1"/>
    <col min="4363" max="4363" width="9.6640625" style="9" bestFit="1" customWidth="1"/>
    <col min="4364" max="4610" width="8.6640625" style="9"/>
    <col min="4611" max="4612" width="10.6640625" style="9" customWidth="1"/>
    <col min="4613" max="4613" width="36.6640625" style="9" customWidth="1"/>
    <col min="4614" max="4614" width="35.44140625" style="9" customWidth="1"/>
    <col min="4615" max="4615" width="14.109375" style="9" customWidth="1"/>
    <col min="4616" max="4616" width="16" style="9" customWidth="1"/>
    <col min="4617" max="4617" width="19.33203125" style="9" customWidth="1"/>
    <col min="4618" max="4618" width="15" style="9" customWidth="1"/>
    <col min="4619" max="4619" width="9.6640625" style="9" bestFit="1" customWidth="1"/>
    <col min="4620" max="4866" width="8.6640625" style="9"/>
    <col min="4867" max="4868" width="10.6640625" style="9" customWidth="1"/>
    <col min="4869" max="4869" width="36.6640625" style="9" customWidth="1"/>
    <col min="4870" max="4870" width="35.44140625" style="9" customWidth="1"/>
    <col min="4871" max="4871" width="14.109375" style="9" customWidth="1"/>
    <col min="4872" max="4872" width="16" style="9" customWidth="1"/>
    <col min="4873" max="4873" width="19.33203125" style="9" customWidth="1"/>
    <col min="4874" max="4874" width="15" style="9" customWidth="1"/>
    <col min="4875" max="4875" width="9.6640625" style="9" bestFit="1" customWidth="1"/>
    <col min="4876" max="5122" width="8.6640625" style="9"/>
    <col min="5123" max="5124" width="10.6640625" style="9" customWidth="1"/>
    <col min="5125" max="5125" width="36.6640625" style="9" customWidth="1"/>
    <col min="5126" max="5126" width="35.44140625" style="9" customWidth="1"/>
    <col min="5127" max="5127" width="14.109375" style="9" customWidth="1"/>
    <col min="5128" max="5128" width="16" style="9" customWidth="1"/>
    <col min="5129" max="5129" width="19.33203125" style="9" customWidth="1"/>
    <col min="5130" max="5130" width="15" style="9" customWidth="1"/>
    <col min="5131" max="5131" width="9.6640625" style="9" bestFit="1" customWidth="1"/>
    <col min="5132" max="5378" width="8.6640625" style="9"/>
    <col min="5379" max="5380" width="10.6640625" style="9" customWidth="1"/>
    <col min="5381" max="5381" width="36.6640625" style="9" customWidth="1"/>
    <col min="5382" max="5382" width="35.44140625" style="9" customWidth="1"/>
    <col min="5383" max="5383" width="14.109375" style="9" customWidth="1"/>
    <col min="5384" max="5384" width="16" style="9" customWidth="1"/>
    <col min="5385" max="5385" width="19.33203125" style="9" customWidth="1"/>
    <col min="5386" max="5386" width="15" style="9" customWidth="1"/>
    <col min="5387" max="5387" width="9.6640625" style="9" bestFit="1" customWidth="1"/>
    <col min="5388" max="5634" width="8.6640625" style="9"/>
    <col min="5635" max="5636" width="10.6640625" style="9" customWidth="1"/>
    <col min="5637" max="5637" width="36.6640625" style="9" customWidth="1"/>
    <col min="5638" max="5638" width="35.44140625" style="9" customWidth="1"/>
    <col min="5639" max="5639" width="14.109375" style="9" customWidth="1"/>
    <col min="5640" max="5640" width="16" style="9" customWidth="1"/>
    <col min="5641" max="5641" width="19.33203125" style="9" customWidth="1"/>
    <col min="5642" max="5642" width="15" style="9" customWidth="1"/>
    <col min="5643" max="5643" width="9.6640625" style="9" bestFit="1" customWidth="1"/>
    <col min="5644" max="5890" width="8.6640625" style="9"/>
    <col min="5891" max="5892" width="10.6640625" style="9" customWidth="1"/>
    <col min="5893" max="5893" width="36.6640625" style="9" customWidth="1"/>
    <col min="5894" max="5894" width="35.44140625" style="9" customWidth="1"/>
    <col min="5895" max="5895" width="14.109375" style="9" customWidth="1"/>
    <col min="5896" max="5896" width="16" style="9" customWidth="1"/>
    <col min="5897" max="5897" width="19.33203125" style="9" customWidth="1"/>
    <col min="5898" max="5898" width="15" style="9" customWidth="1"/>
    <col min="5899" max="5899" width="9.6640625" style="9" bestFit="1" customWidth="1"/>
    <col min="5900" max="6146" width="8.6640625" style="9"/>
    <col min="6147" max="6148" width="10.6640625" style="9" customWidth="1"/>
    <col min="6149" max="6149" width="36.6640625" style="9" customWidth="1"/>
    <col min="6150" max="6150" width="35.44140625" style="9" customWidth="1"/>
    <col min="6151" max="6151" width="14.109375" style="9" customWidth="1"/>
    <col min="6152" max="6152" width="16" style="9" customWidth="1"/>
    <col min="6153" max="6153" width="19.33203125" style="9" customWidth="1"/>
    <col min="6154" max="6154" width="15" style="9" customWidth="1"/>
    <col min="6155" max="6155" width="9.6640625" style="9" bestFit="1" customWidth="1"/>
    <col min="6156" max="6402" width="8.6640625" style="9"/>
    <col min="6403" max="6404" width="10.6640625" style="9" customWidth="1"/>
    <col min="6405" max="6405" width="36.6640625" style="9" customWidth="1"/>
    <col min="6406" max="6406" width="35.44140625" style="9" customWidth="1"/>
    <col min="6407" max="6407" width="14.109375" style="9" customWidth="1"/>
    <col min="6408" max="6408" width="16" style="9" customWidth="1"/>
    <col min="6409" max="6409" width="19.33203125" style="9" customWidth="1"/>
    <col min="6410" max="6410" width="15" style="9" customWidth="1"/>
    <col min="6411" max="6411" width="9.6640625" style="9" bestFit="1" customWidth="1"/>
    <col min="6412" max="6658" width="8.6640625" style="9"/>
    <col min="6659" max="6660" width="10.6640625" style="9" customWidth="1"/>
    <col min="6661" max="6661" width="36.6640625" style="9" customWidth="1"/>
    <col min="6662" max="6662" width="35.44140625" style="9" customWidth="1"/>
    <col min="6663" max="6663" width="14.109375" style="9" customWidth="1"/>
    <col min="6664" max="6664" width="16" style="9" customWidth="1"/>
    <col min="6665" max="6665" width="19.33203125" style="9" customWidth="1"/>
    <col min="6666" max="6666" width="15" style="9" customWidth="1"/>
    <col min="6667" max="6667" width="9.6640625" style="9" bestFit="1" customWidth="1"/>
    <col min="6668" max="6914" width="8.6640625" style="9"/>
    <col min="6915" max="6916" width="10.6640625" style="9" customWidth="1"/>
    <col min="6917" max="6917" width="36.6640625" style="9" customWidth="1"/>
    <col min="6918" max="6918" width="35.44140625" style="9" customWidth="1"/>
    <col min="6919" max="6919" width="14.109375" style="9" customWidth="1"/>
    <col min="6920" max="6920" width="16" style="9" customWidth="1"/>
    <col min="6921" max="6921" width="19.33203125" style="9" customWidth="1"/>
    <col min="6922" max="6922" width="15" style="9" customWidth="1"/>
    <col min="6923" max="6923" width="9.6640625" style="9" bestFit="1" customWidth="1"/>
    <col min="6924" max="7170" width="8.6640625" style="9"/>
    <col min="7171" max="7172" width="10.6640625" style="9" customWidth="1"/>
    <col min="7173" max="7173" width="36.6640625" style="9" customWidth="1"/>
    <col min="7174" max="7174" width="35.44140625" style="9" customWidth="1"/>
    <col min="7175" max="7175" width="14.109375" style="9" customWidth="1"/>
    <col min="7176" max="7176" width="16" style="9" customWidth="1"/>
    <col min="7177" max="7177" width="19.33203125" style="9" customWidth="1"/>
    <col min="7178" max="7178" width="15" style="9" customWidth="1"/>
    <col min="7179" max="7179" width="9.6640625" style="9" bestFit="1" customWidth="1"/>
    <col min="7180" max="7426" width="8.6640625" style="9"/>
    <col min="7427" max="7428" width="10.6640625" style="9" customWidth="1"/>
    <col min="7429" max="7429" width="36.6640625" style="9" customWidth="1"/>
    <col min="7430" max="7430" width="35.44140625" style="9" customWidth="1"/>
    <col min="7431" max="7431" width="14.109375" style="9" customWidth="1"/>
    <col min="7432" max="7432" width="16" style="9" customWidth="1"/>
    <col min="7433" max="7433" width="19.33203125" style="9" customWidth="1"/>
    <col min="7434" max="7434" width="15" style="9" customWidth="1"/>
    <col min="7435" max="7435" width="9.6640625" style="9" bestFit="1" customWidth="1"/>
    <col min="7436" max="7682" width="8.6640625" style="9"/>
    <col min="7683" max="7684" width="10.6640625" style="9" customWidth="1"/>
    <col min="7685" max="7685" width="36.6640625" style="9" customWidth="1"/>
    <col min="7686" max="7686" width="35.44140625" style="9" customWidth="1"/>
    <col min="7687" max="7687" width="14.109375" style="9" customWidth="1"/>
    <col min="7688" max="7688" width="16" style="9" customWidth="1"/>
    <col min="7689" max="7689" width="19.33203125" style="9" customWidth="1"/>
    <col min="7690" max="7690" width="15" style="9" customWidth="1"/>
    <col min="7691" max="7691" width="9.6640625" style="9" bestFit="1" customWidth="1"/>
    <col min="7692" max="7938" width="8.6640625" style="9"/>
    <col min="7939" max="7940" width="10.6640625" style="9" customWidth="1"/>
    <col min="7941" max="7941" width="36.6640625" style="9" customWidth="1"/>
    <col min="7942" max="7942" width="35.44140625" style="9" customWidth="1"/>
    <col min="7943" max="7943" width="14.109375" style="9" customWidth="1"/>
    <col min="7944" max="7944" width="16" style="9" customWidth="1"/>
    <col min="7945" max="7945" width="19.33203125" style="9" customWidth="1"/>
    <col min="7946" max="7946" width="15" style="9" customWidth="1"/>
    <col min="7947" max="7947" width="9.6640625" style="9" bestFit="1" customWidth="1"/>
    <col min="7948" max="8194" width="8.6640625" style="9"/>
    <col min="8195" max="8196" width="10.6640625" style="9" customWidth="1"/>
    <col min="8197" max="8197" width="36.6640625" style="9" customWidth="1"/>
    <col min="8198" max="8198" width="35.44140625" style="9" customWidth="1"/>
    <col min="8199" max="8199" width="14.109375" style="9" customWidth="1"/>
    <col min="8200" max="8200" width="16" style="9" customWidth="1"/>
    <col min="8201" max="8201" width="19.33203125" style="9" customWidth="1"/>
    <col min="8202" max="8202" width="15" style="9" customWidth="1"/>
    <col min="8203" max="8203" width="9.6640625" style="9" bestFit="1" customWidth="1"/>
    <col min="8204" max="8450" width="8.6640625" style="9"/>
    <col min="8451" max="8452" width="10.6640625" style="9" customWidth="1"/>
    <col min="8453" max="8453" width="36.6640625" style="9" customWidth="1"/>
    <col min="8454" max="8454" width="35.44140625" style="9" customWidth="1"/>
    <col min="8455" max="8455" width="14.109375" style="9" customWidth="1"/>
    <col min="8456" max="8456" width="16" style="9" customWidth="1"/>
    <col min="8457" max="8457" width="19.33203125" style="9" customWidth="1"/>
    <col min="8458" max="8458" width="15" style="9" customWidth="1"/>
    <col min="8459" max="8459" width="9.6640625" style="9" bestFit="1" customWidth="1"/>
    <col min="8460" max="8706" width="8.6640625" style="9"/>
    <col min="8707" max="8708" width="10.6640625" style="9" customWidth="1"/>
    <col min="8709" max="8709" width="36.6640625" style="9" customWidth="1"/>
    <col min="8710" max="8710" width="35.44140625" style="9" customWidth="1"/>
    <col min="8711" max="8711" width="14.109375" style="9" customWidth="1"/>
    <col min="8712" max="8712" width="16" style="9" customWidth="1"/>
    <col min="8713" max="8713" width="19.33203125" style="9" customWidth="1"/>
    <col min="8714" max="8714" width="15" style="9" customWidth="1"/>
    <col min="8715" max="8715" width="9.6640625" style="9" bestFit="1" customWidth="1"/>
    <col min="8716" max="8962" width="8.6640625" style="9"/>
    <col min="8963" max="8964" width="10.6640625" style="9" customWidth="1"/>
    <col min="8965" max="8965" width="36.6640625" style="9" customWidth="1"/>
    <col min="8966" max="8966" width="35.44140625" style="9" customWidth="1"/>
    <col min="8967" max="8967" width="14.109375" style="9" customWidth="1"/>
    <col min="8968" max="8968" width="16" style="9" customWidth="1"/>
    <col min="8969" max="8969" width="19.33203125" style="9" customWidth="1"/>
    <col min="8970" max="8970" width="15" style="9" customWidth="1"/>
    <col min="8971" max="8971" width="9.6640625" style="9" bestFit="1" customWidth="1"/>
    <col min="8972" max="9218" width="8.6640625" style="9"/>
    <col min="9219" max="9220" width="10.6640625" style="9" customWidth="1"/>
    <col min="9221" max="9221" width="36.6640625" style="9" customWidth="1"/>
    <col min="9222" max="9222" width="35.44140625" style="9" customWidth="1"/>
    <col min="9223" max="9223" width="14.109375" style="9" customWidth="1"/>
    <col min="9224" max="9224" width="16" style="9" customWidth="1"/>
    <col min="9225" max="9225" width="19.33203125" style="9" customWidth="1"/>
    <col min="9226" max="9226" width="15" style="9" customWidth="1"/>
    <col min="9227" max="9227" width="9.6640625" style="9" bestFit="1" customWidth="1"/>
    <col min="9228" max="9474" width="8.6640625" style="9"/>
    <col min="9475" max="9476" width="10.6640625" style="9" customWidth="1"/>
    <col min="9477" max="9477" width="36.6640625" style="9" customWidth="1"/>
    <col min="9478" max="9478" width="35.44140625" style="9" customWidth="1"/>
    <col min="9479" max="9479" width="14.109375" style="9" customWidth="1"/>
    <col min="9480" max="9480" width="16" style="9" customWidth="1"/>
    <col min="9481" max="9481" width="19.33203125" style="9" customWidth="1"/>
    <col min="9482" max="9482" width="15" style="9" customWidth="1"/>
    <col min="9483" max="9483" width="9.6640625" style="9" bestFit="1" customWidth="1"/>
    <col min="9484" max="9730" width="8.6640625" style="9"/>
    <col min="9731" max="9732" width="10.6640625" style="9" customWidth="1"/>
    <col min="9733" max="9733" width="36.6640625" style="9" customWidth="1"/>
    <col min="9734" max="9734" width="35.44140625" style="9" customWidth="1"/>
    <col min="9735" max="9735" width="14.109375" style="9" customWidth="1"/>
    <col min="9736" max="9736" width="16" style="9" customWidth="1"/>
    <col min="9737" max="9737" width="19.33203125" style="9" customWidth="1"/>
    <col min="9738" max="9738" width="15" style="9" customWidth="1"/>
    <col min="9739" max="9739" width="9.6640625" style="9" bestFit="1" customWidth="1"/>
    <col min="9740" max="9986" width="8.6640625" style="9"/>
    <col min="9987" max="9988" width="10.6640625" style="9" customWidth="1"/>
    <col min="9989" max="9989" width="36.6640625" style="9" customWidth="1"/>
    <col min="9990" max="9990" width="35.44140625" style="9" customWidth="1"/>
    <col min="9991" max="9991" width="14.109375" style="9" customWidth="1"/>
    <col min="9992" max="9992" width="16" style="9" customWidth="1"/>
    <col min="9993" max="9993" width="19.33203125" style="9" customWidth="1"/>
    <col min="9994" max="9994" width="15" style="9" customWidth="1"/>
    <col min="9995" max="9995" width="9.6640625" style="9" bestFit="1" customWidth="1"/>
    <col min="9996" max="10242" width="8.6640625" style="9"/>
    <col min="10243" max="10244" width="10.6640625" style="9" customWidth="1"/>
    <col min="10245" max="10245" width="36.6640625" style="9" customWidth="1"/>
    <col min="10246" max="10246" width="35.44140625" style="9" customWidth="1"/>
    <col min="10247" max="10247" width="14.109375" style="9" customWidth="1"/>
    <col min="10248" max="10248" width="16" style="9" customWidth="1"/>
    <col min="10249" max="10249" width="19.33203125" style="9" customWidth="1"/>
    <col min="10250" max="10250" width="15" style="9" customWidth="1"/>
    <col min="10251" max="10251" width="9.6640625" style="9" bestFit="1" customWidth="1"/>
    <col min="10252" max="10498" width="8.6640625" style="9"/>
    <col min="10499" max="10500" width="10.6640625" style="9" customWidth="1"/>
    <col min="10501" max="10501" width="36.6640625" style="9" customWidth="1"/>
    <col min="10502" max="10502" width="35.44140625" style="9" customWidth="1"/>
    <col min="10503" max="10503" width="14.109375" style="9" customWidth="1"/>
    <col min="10504" max="10504" width="16" style="9" customWidth="1"/>
    <col min="10505" max="10505" width="19.33203125" style="9" customWidth="1"/>
    <col min="10506" max="10506" width="15" style="9" customWidth="1"/>
    <col min="10507" max="10507" width="9.6640625" style="9" bestFit="1" customWidth="1"/>
    <col min="10508" max="10754" width="8.6640625" style="9"/>
    <col min="10755" max="10756" width="10.6640625" style="9" customWidth="1"/>
    <col min="10757" max="10757" width="36.6640625" style="9" customWidth="1"/>
    <col min="10758" max="10758" width="35.44140625" style="9" customWidth="1"/>
    <col min="10759" max="10759" width="14.109375" style="9" customWidth="1"/>
    <col min="10760" max="10760" width="16" style="9" customWidth="1"/>
    <col min="10761" max="10761" width="19.33203125" style="9" customWidth="1"/>
    <col min="10762" max="10762" width="15" style="9" customWidth="1"/>
    <col min="10763" max="10763" width="9.6640625" style="9" bestFit="1" customWidth="1"/>
    <col min="10764" max="11010" width="8.6640625" style="9"/>
    <col min="11011" max="11012" width="10.6640625" style="9" customWidth="1"/>
    <col min="11013" max="11013" width="36.6640625" style="9" customWidth="1"/>
    <col min="11014" max="11014" width="35.44140625" style="9" customWidth="1"/>
    <col min="11015" max="11015" width="14.109375" style="9" customWidth="1"/>
    <col min="11016" max="11016" width="16" style="9" customWidth="1"/>
    <col min="11017" max="11017" width="19.33203125" style="9" customWidth="1"/>
    <col min="11018" max="11018" width="15" style="9" customWidth="1"/>
    <col min="11019" max="11019" width="9.6640625" style="9" bestFit="1" customWidth="1"/>
    <col min="11020" max="11266" width="8.6640625" style="9"/>
    <col min="11267" max="11268" width="10.6640625" style="9" customWidth="1"/>
    <col min="11269" max="11269" width="36.6640625" style="9" customWidth="1"/>
    <col min="11270" max="11270" width="35.44140625" style="9" customWidth="1"/>
    <col min="11271" max="11271" width="14.109375" style="9" customWidth="1"/>
    <col min="11272" max="11272" width="16" style="9" customWidth="1"/>
    <col min="11273" max="11273" width="19.33203125" style="9" customWidth="1"/>
    <col min="11274" max="11274" width="15" style="9" customWidth="1"/>
    <col min="11275" max="11275" width="9.6640625" style="9" bestFit="1" customWidth="1"/>
    <col min="11276" max="11522" width="8.6640625" style="9"/>
    <col min="11523" max="11524" width="10.6640625" style="9" customWidth="1"/>
    <col min="11525" max="11525" width="36.6640625" style="9" customWidth="1"/>
    <col min="11526" max="11526" width="35.44140625" style="9" customWidth="1"/>
    <col min="11527" max="11527" width="14.109375" style="9" customWidth="1"/>
    <col min="11528" max="11528" width="16" style="9" customWidth="1"/>
    <col min="11529" max="11529" width="19.33203125" style="9" customWidth="1"/>
    <col min="11530" max="11530" width="15" style="9" customWidth="1"/>
    <col min="11531" max="11531" width="9.6640625" style="9" bestFit="1" customWidth="1"/>
    <col min="11532" max="11778" width="8.6640625" style="9"/>
    <col min="11779" max="11780" width="10.6640625" style="9" customWidth="1"/>
    <col min="11781" max="11781" width="36.6640625" style="9" customWidth="1"/>
    <col min="11782" max="11782" width="35.44140625" style="9" customWidth="1"/>
    <col min="11783" max="11783" width="14.109375" style="9" customWidth="1"/>
    <col min="11784" max="11784" width="16" style="9" customWidth="1"/>
    <col min="11785" max="11785" width="19.33203125" style="9" customWidth="1"/>
    <col min="11786" max="11786" width="15" style="9" customWidth="1"/>
    <col min="11787" max="11787" width="9.6640625" style="9" bestFit="1" customWidth="1"/>
    <col min="11788" max="12034" width="8.6640625" style="9"/>
    <col min="12035" max="12036" width="10.6640625" style="9" customWidth="1"/>
    <col min="12037" max="12037" width="36.6640625" style="9" customWidth="1"/>
    <col min="12038" max="12038" width="35.44140625" style="9" customWidth="1"/>
    <col min="12039" max="12039" width="14.109375" style="9" customWidth="1"/>
    <col min="12040" max="12040" width="16" style="9" customWidth="1"/>
    <col min="12041" max="12041" width="19.33203125" style="9" customWidth="1"/>
    <col min="12042" max="12042" width="15" style="9" customWidth="1"/>
    <col min="12043" max="12043" width="9.6640625" style="9" bestFit="1" customWidth="1"/>
    <col min="12044" max="12290" width="8.6640625" style="9"/>
    <col min="12291" max="12292" width="10.6640625" style="9" customWidth="1"/>
    <col min="12293" max="12293" width="36.6640625" style="9" customWidth="1"/>
    <col min="12294" max="12294" width="35.44140625" style="9" customWidth="1"/>
    <col min="12295" max="12295" width="14.109375" style="9" customWidth="1"/>
    <col min="12296" max="12296" width="16" style="9" customWidth="1"/>
    <col min="12297" max="12297" width="19.33203125" style="9" customWidth="1"/>
    <col min="12298" max="12298" width="15" style="9" customWidth="1"/>
    <col min="12299" max="12299" width="9.6640625" style="9" bestFit="1" customWidth="1"/>
    <col min="12300" max="12546" width="8.6640625" style="9"/>
    <col min="12547" max="12548" width="10.6640625" style="9" customWidth="1"/>
    <col min="12549" max="12549" width="36.6640625" style="9" customWidth="1"/>
    <col min="12550" max="12550" width="35.44140625" style="9" customWidth="1"/>
    <col min="12551" max="12551" width="14.109375" style="9" customWidth="1"/>
    <col min="12552" max="12552" width="16" style="9" customWidth="1"/>
    <col min="12553" max="12553" width="19.33203125" style="9" customWidth="1"/>
    <col min="12554" max="12554" width="15" style="9" customWidth="1"/>
    <col min="12555" max="12555" width="9.6640625" style="9" bestFit="1" customWidth="1"/>
    <col min="12556" max="12802" width="8.6640625" style="9"/>
    <col min="12803" max="12804" width="10.6640625" style="9" customWidth="1"/>
    <col min="12805" max="12805" width="36.6640625" style="9" customWidth="1"/>
    <col min="12806" max="12806" width="35.44140625" style="9" customWidth="1"/>
    <col min="12807" max="12807" width="14.109375" style="9" customWidth="1"/>
    <col min="12808" max="12808" width="16" style="9" customWidth="1"/>
    <col min="12809" max="12809" width="19.33203125" style="9" customWidth="1"/>
    <col min="12810" max="12810" width="15" style="9" customWidth="1"/>
    <col min="12811" max="12811" width="9.6640625" style="9" bestFit="1" customWidth="1"/>
    <col min="12812" max="13058" width="8.6640625" style="9"/>
    <col min="13059" max="13060" width="10.6640625" style="9" customWidth="1"/>
    <col min="13061" max="13061" width="36.6640625" style="9" customWidth="1"/>
    <col min="13062" max="13062" width="35.44140625" style="9" customWidth="1"/>
    <col min="13063" max="13063" width="14.109375" style="9" customWidth="1"/>
    <col min="13064" max="13064" width="16" style="9" customWidth="1"/>
    <col min="13065" max="13065" width="19.33203125" style="9" customWidth="1"/>
    <col min="13066" max="13066" width="15" style="9" customWidth="1"/>
    <col min="13067" max="13067" width="9.6640625" style="9" bestFit="1" customWidth="1"/>
    <col min="13068" max="13314" width="8.6640625" style="9"/>
    <col min="13315" max="13316" width="10.6640625" style="9" customWidth="1"/>
    <col min="13317" max="13317" width="36.6640625" style="9" customWidth="1"/>
    <col min="13318" max="13318" width="35.44140625" style="9" customWidth="1"/>
    <col min="13319" max="13319" width="14.109375" style="9" customWidth="1"/>
    <col min="13320" max="13320" width="16" style="9" customWidth="1"/>
    <col min="13321" max="13321" width="19.33203125" style="9" customWidth="1"/>
    <col min="13322" max="13322" width="15" style="9" customWidth="1"/>
    <col min="13323" max="13323" width="9.6640625" style="9" bestFit="1" customWidth="1"/>
    <col min="13324" max="13570" width="8.6640625" style="9"/>
    <col min="13571" max="13572" width="10.6640625" style="9" customWidth="1"/>
    <col min="13573" max="13573" width="36.6640625" style="9" customWidth="1"/>
    <col min="13574" max="13574" width="35.44140625" style="9" customWidth="1"/>
    <col min="13575" max="13575" width="14.109375" style="9" customWidth="1"/>
    <col min="13576" max="13576" width="16" style="9" customWidth="1"/>
    <col min="13577" max="13577" width="19.33203125" style="9" customWidth="1"/>
    <col min="13578" max="13578" width="15" style="9" customWidth="1"/>
    <col min="13579" max="13579" width="9.6640625" style="9" bestFit="1" customWidth="1"/>
    <col min="13580" max="13826" width="8.6640625" style="9"/>
    <col min="13827" max="13828" width="10.6640625" style="9" customWidth="1"/>
    <col min="13829" max="13829" width="36.6640625" style="9" customWidth="1"/>
    <col min="13830" max="13830" width="35.44140625" style="9" customWidth="1"/>
    <col min="13831" max="13831" width="14.109375" style="9" customWidth="1"/>
    <col min="13832" max="13832" width="16" style="9" customWidth="1"/>
    <col min="13833" max="13833" width="19.33203125" style="9" customWidth="1"/>
    <col min="13834" max="13834" width="15" style="9" customWidth="1"/>
    <col min="13835" max="13835" width="9.6640625" style="9" bestFit="1" customWidth="1"/>
    <col min="13836" max="14082" width="8.6640625" style="9"/>
    <col min="14083" max="14084" width="10.6640625" style="9" customWidth="1"/>
    <col min="14085" max="14085" width="36.6640625" style="9" customWidth="1"/>
    <col min="14086" max="14086" width="35.44140625" style="9" customWidth="1"/>
    <col min="14087" max="14087" width="14.109375" style="9" customWidth="1"/>
    <col min="14088" max="14088" width="16" style="9" customWidth="1"/>
    <col min="14089" max="14089" width="19.33203125" style="9" customWidth="1"/>
    <col min="14090" max="14090" width="15" style="9" customWidth="1"/>
    <col min="14091" max="14091" width="9.6640625" style="9" bestFit="1" customWidth="1"/>
    <col min="14092" max="14338" width="8.6640625" style="9"/>
    <col min="14339" max="14340" width="10.6640625" style="9" customWidth="1"/>
    <col min="14341" max="14341" width="36.6640625" style="9" customWidth="1"/>
    <col min="14342" max="14342" width="35.44140625" style="9" customWidth="1"/>
    <col min="14343" max="14343" width="14.109375" style="9" customWidth="1"/>
    <col min="14344" max="14344" width="16" style="9" customWidth="1"/>
    <col min="14345" max="14345" width="19.33203125" style="9" customWidth="1"/>
    <col min="14346" max="14346" width="15" style="9" customWidth="1"/>
    <col min="14347" max="14347" width="9.6640625" style="9" bestFit="1" customWidth="1"/>
    <col min="14348" max="14594" width="8.6640625" style="9"/>
    <col min="14595" max="14596" width="10.6640625" style="9" customWidth="1"/>
    <col min="14597" max="14597" width="36.6640625" style="9" customWidth="1"/>
    <col min="14598" max="14598" width="35.44140625" style="9" customWidth="1"/>
    <col min="14599" max="14599" width="14.109375" style="9" customWidth="1"/>
    <col min="14600" max="14600" width="16" style="9" customWidth="1"/>
    <col min="14601" max="14601" width="19.33203125" style="9" customWidth="1"/>
    <col min="14602" max="14602" width="15" style="9" customWidth="1"/>
    <col min="14603" max="14603" width="9.6640625" style="9" bestFit="1" customWidth="1"/>
    <col min="14604" max="14850" width="8.6640625" style="9"/>
    <col min="14851" max="14852" width="10.6640625" style="9" customWidth="1"/>
    <col min="14853" max="14853" width="36.6640625" style="9" customWidth="1"/>
    <col min="14854" max="14854" width="35.44140625" style="9" customWidth="1"/>
    <col min="14855" max="14855" width="14.109375" style="9" customWidth="1"/>
    <col min="14856" max="14856" width="16" style="9" customWidth="1"/>
    <col min="14857" max="14857" width="19.33203125" style="9" customWidth="1"/>
    <col min="14858" max="14858" width="15" style="9" customWidth="1"/>
    <col min="14859" max="14859" width="9.6640625" style="9" bestFit="1" customWidth="1"/>
    <col min="14860" max="15106" width="8.6640625" style="9"/>
    <col min="15107" max="15108" width="10.6640625" style="9" customWidth="1"/>
    <col min="15109" max="15109" width="36.6640625" style="9" customWidth="1"/>
    <col min="15110" max="15110" width="35.44140625" style="9" customWidth="1"/>
    <col min="15111" max="15111" width="14.109375" style="9" customWidth="1"/>
    <col min="15112" max="15112" width="16" style="9" customWidth="1"/>
    <col min="15113" max="15113" width="19.33203125" style="9" customWidth="1"/>
    <col min="15114" max="15114" width="15" style="9" customWidth="1"/>
    <col min="15115" max="15115" width="9.6640625" style="9" bestFit="1" customWidth="1"/>
    <col min="15116" max="15362" width="8.6640625" style="9"/>
    <col min="15363" max="15364" width="10.6640625" style="9" customWidth="1"/>
    <col min="15365" max="15365" width="36.6640625" style="9" customWidth="1"/>
    <col min="15366" max="15366" width="35.44140625" style="9" customWidth="1"/>
    <col min="15367" max="15367" width="14.109375" style="9" customWidth="1"/>
    <col min="15368" max="15368" width="16" style="9" customWidth="1"/>
    <col min="15369" max="15369" width="19.33203125" style="9" customWidth="1"/>
    <col min="15370" max="15370" width="15" style="9" customWidth="1"/>
    <col min="15371" max="15371" width="9.6640625" style="9" bestFit="1" customWidth="1"/>
    <col min="15372" max="15618" width="8.6640625" style="9"/>
    <col min="15619" max="15620" width="10.6640625" style="9" customWidth="1"/>
    <col min="15621" max="15621" width="36.6640625" style="9" customWidth="1"/>
    <col min="15622" max="15622" width="35.44140625" style="9" customWidth="1"/>
    <col min="15623" max="15623" width="14.109375" style="9" customWidth="1"/>
    <col min="15624" max="15624" width="16" style="9" customWidth="1"/>
    <col min="15625" max="15625" width="19.33203125" style="9" customWidth="1"/>
    <col min="15626" max="15626" width="15" style="9" customWidth="1"/>
    <col min="15627" max="15627" width="9.6640625" style="9" bestFit="1" customWidth="1"/>
    <col min="15628" max="15874" width="8.6640625" style="9"/>
    <col min="15875" max="15876" width="10.6640625" style="9" customWidth="1"/>
    <col min="15877" max="15877" width="36.6640625" style="9" customWidth="1"/>
    <col min="15878" max="15878" width="35.44140625" style="9" customWidth="1"/>
    <col min="15879" max="15879" width="14.109375" style="9" customWidth="1"/>
    <col min="15880" max="15880" width="16" style="9" customWidth="1"/>
    <col min="15881" max="15881" width="19.33203125" style="9" customWidth="1"/>
    <col min="15882" max="15882" width="15" style="9" customWidth="1"/>
    <col min="15883" max="15883" width="9.6640625" style="9" bestFit="1" customWidth="1"/>
    <col min="15884" max="16130" width="8.6640625" style="9"/>
    <col min="16131" max="16132" width="10.6640625" style="9" customWidth="1"/>
    <col min="16133" max="16133" width="36.6640625" style="9" customWidth="1"/>
    <col min="16134" max="16134" width="35.44140625" style="9" customWidth="1"/>
    <col min="16135" max="16135" width="14.109375" style="9" customWidth="1"/>
    <col min="16136" max="16136" width="16" style="9" customWidth="1"/>
    <col min="16137" max="16137" width="19.33203125" style="9" customWidth="1"/>
    <col min="16138" max="16138" width="15" style="9" customWidth="1"/>
    <col min="16139" max="16139" width="9.6640625" style="9" bestFit="1" customWidth="1"/>
    <col min="16140" max="16384" width="8.6640625" style="9"/>
  </cols>
  <sheetData>
    <row r="1" spans="1:12" ht="16.2" thickBot="1">
      <c r="A1" s="505" t="s">
        <v>9</v>
      </c>
      <c r="B1" s="506"/>
      <c r="C1" s="506"/>
      <c r="D1" s="506"/>
      <c r="E1" s="506"/>
      <c r="F1" s="506"/>
      <c r="G1" s="507"/>
      <c r="H1" s="507"/>
      <c r="I1" s="508"/>
    </row>
    <row r="2" spans="1:12" ht="78.75" customHeight="1" thickBot="1">
      <c r="A2" s="509" t="s">
        <v>10</v>
      </c>
      <c r="B2" s="510"/>
      <c r="C2" s="511" t="str">
        <f>Resumo!E6&amp;CHAR(10)&amp;Resumo!E7&amp;CHAR(10)&amp;Resumo!E8</f>
        <v>BR-116/RJ/SP (NOVADUTRA)
BR-116/SP/PR (RÉGIS BITTENCOURT)
BR-153/SP (TRANSBRASILIANA)</v>
      </c>
      <c r="D2" s="512"/>
      <c r="E2" s="513"/>
      <c r="F2" s="514" t="s">
        <v>471</v>
      </c>
      <c r="G2" s="515"/>
      <c r="H2" s="515"/>
      <c r="I2" s="516"/>
      <c r="L2" s="11"/>
    </row>
    <row r="3" spans="1:12" ht="16.2" thickBot="1">
      <c r="A3" s="520" t="s">
        <v>11</v>
      </c>
      <c r="B3" s="521"/>
      <c r="C3" s="522">
        <f>SUM(Resumo!G6:G8)</f>
        <v>1125.2</v>
      </c>
      <c r="D3" s="522"/>
      <c r="E3" s="523"/>
      <c r="F3" s="517"/>
      <c r="G3" s="518"/>
      <c r="H3" s="518"/>
      <c r="I3" s="519"/>
      <c r="J3" s="12"/>
      <c r="L3" s="13"/>
    </row>
    <row r="4" spans="1:12">
      <c r="A4" s="14"/>
      <c r="B4" s="14"/>
      <c r="C4" s="15"/>
      <c r="D4" s="16"/>
      <c r="E4" s="14"/>
      <c r="F4" s="14"/>
      <c r="G4" s="14"/>
      <c r="H4" s="14"/>
      <c r="I4" s="14"/>
    </row>
    <row r="5" spans="1:12" ht="15" thickBot="1">
      <c r="A5" s="17"/>
      <c r="B5" s="17"/>
      <c r="C5" s="17"/>
      <c r="D5" s="18"/>
      <c r="E5" s="17"/>
      <c r="F5" s="17"/>
      <c r="G5" s="17"/>
      <c r="H5" s="17"/>
      <c r="I5" s="17"/>
      <c r="J5" s="19"/>
      <c r="L5" s="20"/>
    </row>
    <row r="6" spans="1:12" ht="31.5" customHeight="1">
      <c r="A6" s="134" t="s">
        <v>12</v>
      </c>
      <c r="B6" s="135" t="s">
        <v>13</v>
      </c>
      <c r="C6" s="136" t="s">
        <v>14</v>
      </c>
      <c r="D6" s="136" t="s">
        <v>15</v>
      </c>
      <c r="E6" s="137" t="s">
        <v>16</v>
      </c>
      <c r="F6" s="137" t="s">
        <v>17</v>
      </c>
      <c r="G6" s="262" t="s">
        <v>255</v>
      </c>
      <c r="H6" s="262" t="s">
        <v>254</v>
      </c>
      <c r="I6" s="138" t="s">
        <v>18</v>
      </c>
      <c r="J6" s="21"/>
      <c r="K6" s="151"/>
      <c r="L6" s="22"/>
    </row>
    <row r="7" spans="1:12">
      <c r="A7" s="23"/>
      <c r="B7" s="24"/>
      <c r="C7" s="25" t="s">
        <v>19</v>
      </c>
      <c r="D7" s="26"/>
      <c r="E7" s="25"/>
      <c r="F7" s="25"/>
      <c r="G7" s="277"/>
      <c r="H7" s="290">
        <f>H9+H26+H29+H33+H36+H43+H12+H19+H22+H40</f>
        <v>27036.858649999998</v>
      </c>
      <c r="I7" s="27">
        <f>I9+I26+I29+I33+I36+I43+I12+I19+I22+I40</f>
        <v>164328.55652764998</v>
      </c>
      <c r="J7" s="21"/>
      <c r="L7" s="28"/>
    </row>
    <row r="8" spans="1:12">
      <c r="A8" s="23"/>
      <c r="B8" s="24">
        <v>1</v>
      </c>
      <c r="C8" s="165" t="s">
        <v>20</v>
      </c>
      <c r="D8" s="113"/>
      <c r="E8" s="29"/>
      <c r="F8" s="30"/>
      <c r="G8" s="278"/>
      <c r="H8" s="290"/>
      <c r="I8" s="166"/>
      <c r="L8" s="31"/>
    </row>
    <row r="9" spans="1:12">
      <c r="A9" s="23"/>
      <c r="B9" s="24" t="s">
        <v>21</v>
      </c>
      <c r="C9" s="165" t="s">
        <v>22</v>
      </c>
      <c r="D9" s="113"/>
      <c r="E9" s="29"/>
      <c r="F9" s="30"/>
      <c r="G9" s="278"/>
      <c r="H9" s="290">
        <f>H10</f>
        <v>698.04808899999989</v>
      </c>
      <c r="I9" s="166">
        <f>I10</f>
        <v>829.82416666666654</v>
      </c>
      <c r="L9" s="31"/>
    </row>
    <row r="10" spans="1:12">
      <c r="A10" s="32" t="s">
        <v>641</v>
      </c>
      <c r="B10" s="33" t="s">
        <v>24</v>
      </c>
      <c r="C10" s="167" t="str">
        <f>VLOOKUP(A10,'Planilha base'!$C$11:$K$35,9,FALSE)</f>
        <v>Engenheiro consultor especial</v>
      </c>
      <c r="D10" s="36" t="s">
        <v>25</v>
      </c>
      <c r="E10" s="29">
        <f>1/24</f>
        <v>4.1666666666666664E-2</v>
      </c>
      <c r="F10" s="43">
        <f>VLOOKUP(A10,'Planilha base'!$C$11:$K$35,6,FALSE)</f>
        <v>19915.78</v>
      </c>
      <c r="G10" s="205">
        <f>VLOOKUP(A10,'Planilha base'!$C$11:$K$35,4,FALSE)</f>
        <v>0.84119999999999995</v>
      </c>
      <c r="H10" s="287">
        <f>E10*F10*G10</f>
        <v>698.04808899999989</v>
      </c>
      <c r="I10" s="168">
        <f>E10*F10</f>
        <v>829.82416666666654</v>
      </c>
      <c r="K10" s="152"/>
      <c r="L10" s="31"/>
    </row>
    <row r="11" spans="1:12">
      <c r="A11" s="23"/>
      <c r="B11" s="24"/>
      <c r="C11" s="165"/>
      <c r="D11" s="113"/>
      <c r="E11" s="29"/>
      <c r="F11" s="30"/>
      <c r="G11" s="278"/>
      <c r="H11" s="290"/>
      <c r="I11" s="166"/>
      <c r="L11" s="31"/>
    </row>
    <row r="12" spans="1:12">
      <c r="A12" s="23"/>
      <c r="B12" s="24" t="s">
        <v>26</v>
      </c>
      <c r="C12" s="35" t="s">
        <v>27</v>
      </c>
      <c r="D12" s="36"/>
      <c r="E12" s="29"/>
      <c r="F12" s="169"/>
      <c r="G12" s="255"/>
      <c r="H12" s="290">
        <f>SUM(H13:H17)</f>
        <v>17771.598026</v>
      </c>
      <c r="I12" s="170">
        <f>SUM(I13:I17)</f>
        <v>20133.86</v>
      </c>
      <c r="L12" s="31"/>
    </row>
    <row r="13" spans="1:12">
      <c r="A13" s="32" t="s">
        <v>643</v>
      </c>
      <c r="B13" s="33" t="s">
        <v>29</v>
      </c>
      <c r="C13" s="167" t="str">
        <f>VLOOKUP(A13,'Planilha base'!$C$11:$K$35,9,FALSE)</f>
        <v>Engenheiro coordenador</v>
      </c>
      <c r="D13" s="36" t="s">
        <v>30</v>
      </c>
      <c r="E13" s="29">
        <v>1</v>
      </c>
      <c r="F13" s="43">
        <f>VLOOKUP(A13,'Planilha base'!$C$11:$K$35,6,FALSE)</f>
        <v>16596.48</v>
      </c>
      <c r="G13" s="205">
        <f>VLOOKUP(A13,'Planilha base'!$C$11:$K$35,4,FALSE)</f>
        <v>0.8498</v>
      </c>
      <c r="H13" s="287">
        <f>E13*F13*G13</f>
        <v>14103.688704</v>
      </c>
      <c r="I13" s="168">
        <f>E13*F13</f>
        <v>16596.48</v>
      </c>
      <c r="K13" s="152"/>
      <c r="L13" s="31"/>
    </row>
    <row r="14" spans="1:12">
      <c r="A14" s="32" t="s">
        <v>655</v>
      </c>
      <c r="B14" s="33" t="s">
        <v>32</v>
      </c>
      <c r="C14" s="167" t="str">
        <f>VLOOKUP(A14,'Planilha base'!$C$11:$K$35,9,FALSE)</f>
        <v>Engenheiro de projetos sênior</v>
      </c>
      <c r="D14" s="36" t="s">
        <v>30</v>
      </c>
      <c r="E14" s="29">
        <v>0</v>
      </c>
      <c r="F14" s="43">
        <f>VLOOKUP(A14,'Planilha base'!$C$11:$K$35,6,FALSE)</f>
        <v>13887.45</v>
      </c>
      <c r="G14" s="205">
        <f>VLOOKUP(A14,'Planilha base'!$C$11:$K$35,4,FALSE)</f>
        <v>0.86</v>
      </c>
      <c r="H14" s="287">
        <f t="shared" ref="H14:H17" si="0">E14*F14*G14</f>
        <v>0</v>
      </c>
      <c r="I14" s="168">
        <f t="shared" ref="I14:I17" si="1">E14*F14</f>
        <v>0</v>
      </c>
      <c r="K14" s="152"/>
      <c r="L14" s="31"/>
    </row>
    <row r="15" spans="1:12">
      <c r="A15" s="32" t="s">
        <v>653</v>
      </c>
      <c r="B15" s="33" t="s">
        <v>34</v>
      </c>
      <c r="C15" s="167" t="str">
        <f>VLOOKUP(A15,'Planilha base'!$C$11:$K$35,9,FALSE)</f>
        <v>Engenheiro de projetos pleno</v>
      </c>
      <c r="D15" s="36" t="s">
        <v>30</v>
      </c>
      <c r="E15" s="29">
        <v>0</v>
      </c>
      <c r="F15" s="43">
        <f>VLOOKUP(A15,'Planilha base'!$C$11:$K$35,6,FALSE)</f>
        <v>10528.02</v>
      </c>
      <c r="G15" s="205">
        <f>VLOOKUP(A15,'Planilha base'!$C$11:$K$35,4,FALSE)</f>
        <v>0.87970000000000004</v>
      </c>
      <c r="H15" s="287">
        <f t="shared" si="0"/>
        <v>0</v>
      </c>
      <c r="I15" s="168">
        <f t="shared" si="1"/>
        <v>0</v>
      </c>
      <c r="K15" s="152"/>
      <c r="L15" s="31"/>
    </row>
    <row r="16" spans="1:12">
      <c r="A16" s="32" t="s">
        <v>651</v>
      </c>
      <c r="B16" s="33" t="s">
        <v>36</v>
      </c>
      <c r="C16" s="167" t="str">
        <f>VLOOKUP(A16,'Planilha base'!$C$11:$K$35,9,FALSE)</f>
        <v>Engenheiro de projetos júnior</v>
      </c>
      <c r="D16" s="36" t="s">
        <v>30</v>
      </c>
      <c r="E16" s="29">
        <v>0</v>
      </c>
      <c r="F16" s="43">
        <f>VLOOKUP(A16,'Planilha base'!$C$11:$K$35,6,FALSE)</f>
        <v>9350</v>
      </c>
      <c r="G16" s="205">
        <f>VLOOKUP(A16,'Planilha base'!$C$11:$K$35,4,FALSE)</f>
        <v>0.89</v>
      </c>
      <c r="H16" s="287">
        <f t="shared" si="0"/>
        <v>0</v>
      </c>
      <c r="I16" s="168">
        <f t="shared" si="1"/>
        <v>0</v>
      </c>
      <c r="K16" s="152"/>
      <c r="L16" s="31"/>
    </row>
    <row r="17" spans="1:13">
      <c r="A17" s="32" t="s">
        <v>607</v>
      </c>
      <c r="B17" s="33" t="s">
        <v>37</v>
      </c>
      <c r="C17" s="167" t="str">
        <f>VLOOKUP(A17,'Planilha base'!$C$11:$K$35,9,FALSE)</f>
        <v>Chefe de escritório</v>
      </c>
      <c r="D17" s="36" t="s">
        <v>30</v>
      </c>
      <c r="E17" s="29">
        <v>1</v>
      </c>
      <c r="F17" s="43">
        <f>VLOOKUP(A17,'Planilha base'!$C$11:$K$35,6,FALSE)</f>
        <v>3537.38</v>
      </c>
      <c r="G17" s="205">
        <f>VLOOKUP(A17,'Planilha base'!$C$11:$K$35,4,FALSE)</f>
        <v>1.0368999999999999</v>
      </c>
      <c r="H17" s="287">
        <f t="shared" si="0"/>
        <v>3667.909322</v>
      </c>
      <c r="I17" s="168">
        <f t="shared" si="1"/>
        <v>3537.38</v>
      </c>
      <c r="K17" s="152"/>
      <c r="L17" s="31"/>
    </row>
    <row r="18" spans="1:13">
      <c r="A18" s="32"/>
      <c r="B18" s="33"/>
      <c r="C18" s="37"/>
      <c r="D18" s="36"/>
      <c r="E18" s="29"/>
      <c r="F18" s="171"/>
      <c r="G18" s="279"/>
      <c r="H18" s="291"/>
      <c r="I18" s="168"/>
      <c r="L18" s="31"/>
    </row>
    <row r="19" spans="1:13">
      <c r="A19" s="23"/>
      <c r="B19" s="24" t="s">
        <v>38</v>
      </c>
      <c r="C19" s="35" t="s">
        <v>39</v>
      </c>
      <c r="D19" s="36"/>
      <c r="E19" s="29"/>
      <c r="F19" s="171"/>
      <c r="G19" s="279"/>
      <c r="H19" s="292">
        <f>SUM(H20:H20)</f>
        <v>0</v>
      </c>
      <c r="I19" s="170">
        <f>SUM(I20:I20)</f>
        <v>0</v>
      </c>
      <c r="L19" s="31"/>
    </row>
    <row r="20" spans="1:13">
      <c r="A20" s="32" t="s">
        <v>719</v>
      </c>
      <c r="B20" s="33" t="s">
        <v>40</v>
      </c>
      <c r="C20" s="167" t="str">
        <f>VLOOKUP(A20,'Planilha base'!$C$11:$K$35,9,FALSE)</f>
        <v>Técnico de obras</v>
      </c>
      <c r="D20" s="36" t="s">
        <v>30</v>
      </c>
      <c r="E20" s="29">
        <v>0</v>
      </c>
      <c r="F20" s="43">
        <f>VLOOKUP(A20,'Planilha base'!$C$11:$K$35,6,FALSE)</f>
        <v>2436.42</v>
      </c>
      <c r="G20" s="205">
        <f>VLOOKUP(A20,'Planilha base'!$C$11:$K$35,4,FALSE)</f>
        <v>1.0971</v>
      </c>
      <c r="H20" s="287">
        <f t="shared" ref="H20" si="2">E20*F20*G20</f>
        <v>0</v>
      </c>
      <c r="I20" s="168">
        <f>E20*F20</f>
        <v>0</v>
      </c>
      <c r="K20" s="152"/>
      <c r="L20" s="31"/>
    </row>
    <row r="21" spans="1:13">
      <c r="A21" s="32"/>
      <c r="B21" s="33"/>
      <c r="C21" s="37"/>
      <c r="D21" s="36"/>
      <c r="E21" s="29"/>
      <c r="F21" s="171"/>
      <c r="G21" s="279"/>
      <c r="H21" s="291"/>
      <c r="I21" s="168"/>
      <c r="L21" s="31"/>
    </row>
    <row r="22" spans="1:13">
      <c r="A22" s="32"/>
      <c r="B22" s="24" t="s">
        <v>43</v>
      </c>
      <c r="C22" s="35" t="s">
        <v>44</v>
      </c>
      <c r="D22" s="36"/>
      <c r="E22" s="29"/>
      <c r="F22" s="171"/>
      <c r="G22" s="279"/>
      <c r="H22" s="292">
        <f>SUM(H23:H24)</f>
        <v>8567.2125349999988</v>
      </c>
      <c r="I22" s="170">
        <f>SUM(I23:I24)</f>
        <v>6898.22</v>
      </c>
      <c r="L22" s="31"/>
    </row>
    <row r="23" spans="1:13">
      <c r="A23" s="32" t="s">
        <v>713</v>
      </c>
      <c r="B23" s="33" t="s">
        <v>46</v>
      </c>
      <c r="C23" s="167" t="str">
        <f>VLOOKUP(A23,'Planilha base'!$C$11:$K$35,9,FALSE)</f>
        <v>Secretária</v>
      </c>
      <c r="D23" s="36" t="s">
        <v>30</v>
      </c>
      <c r="E23" s="29">
        <v>1</v>
      </c>
      <c r="F23" s="43">
        <f>VLOOKUP(A23,'Planilha base'!$C$11:$K$35,6,FALSE)</f>
        <v>5326.83</v>
      </c>
      <c r="G23" s="205">
        <f>VLOOKUP(A23,'Planilha base'!$C$11:$K$35,4,FALSE)</f>
        <v>1.1964999999999999</v>
      </c>
      <c r="H23" s="287">
        <f t="shared" ref="H23:H24" si="3">E23*F23*G23</f>
        <v>6373.5520949999991</v>
      </c>
      <c r="I23" s="168">
        <f>E23*F23</f>
        <v>5326.83</v>
      </c>
      <c r="K23" s="152"/>
      <c r="L23" s="31"/>
    </row>
    <row r="24" spans="1:13">
      <c r="A24" s="32" t="s">
        <v>595</v>
      </c>
      <c r="B24" s="33" t="s">
        <v>49</v>
      </c>
      <c r="C24" s="167" t="str">
        <f>VLOOKUP(A24,'Planilha base'!$C$11:$K$35,9,FALSE)</f>
        <v>Auxiliar administrativo</v>
      </c>
      <c r="D24" s="36" t="s">
        <v>30</v>
      </c>
      <c r="E24" s="29">
        <v>1</v>
      </c>
      <c r="F24" s="43">
        <f>VLOOKUP(A24,'Planilha base'!$C$11:$K$35,6,FALSE)</f>
        <v>1571.39</v>
      </c>
      <c r="G24" s="205">
        <f>VLOOKUP(A24,'Planilha base'!$C$11:$K$35,4,FALSE)</f>
        <v>1.3959999999999999</v>
      </c>
      <c r="H24" s="287">
        <f t="shared" si="3"/>
        <v>2193.6604400000001</v>
      </c>
      <c r="I24" s="168">
        <f>E24*F24</f>
        <v>1571.39</v>
      </c>
      <c r="K24" s="152"/>
      <c r="L24" s="31"/>
    </row>
    <row r="25" spans="1:13">
      <c r="A25" s="32"/>
      <c r="B25" s="33"/>
      <c r="C25" s="172"/>
      <c r="D25" s="172"/>
      <c r="E25" s="29"/>
      <c r="F25" s="173"/>
      <c r="G25" s="280"/>
      <c r="H25" s="288"/>
      <c r="I25" s="170"/>
      <c r="L25" s="31"/>
    </row>
    <row r="26" spans="1:13">
      <c r="A26" s="23"/>
      <c r="B26" s="24">
        <v>2</v>
      </c>
      <c r="C26" s="35" t="s">
        <v>334</v>
      </c>
      <c r="D26" s="39"/>
      <c r="E26" s="29"/>
      <c r="F26" s="115"/>
      <c r="G26" s="281"/>
      <c r="H26" s="288">
        <f>H27</f>
        <v>0</v>
      </c>
      <c r="I26" s="170">
        <f>I27</f>
        <v>15179.502961233331</v>
      </c>
      <c r="L26" s="31"/>
    </row>
    <row r="27" spans="1:13">
      <c r="A27" s="32"/>
      <c r="B27" s="33" t="s">
        <v>51</v>
      </c>
      <c r="C27" s="37" t="s">
        <v>334</v>
      </c>
      <c r="D27" s="38" t="s">
        <v>52</v>
      </c>
      <c r="E27" s="29">
        <f>(I22+I19+I12+I9)+(H9+H12+H19+H22)+I29+I33+I36+I40</f>
        <v>132920.34116666665</v>
      </c>
      <c r="F27" s="115">
        <f>'Planilha base'!H39</f>
        <v>0.1142</v>
      </c>
      <c r="G27" s="281"/>
      <c r="H27" s="287"/>
      <c r="I27" s="168">
        <f>E27*F27</f>
        <v>15179.502961233331</v>
      </c>
      <c r="L27" s="31"/>
    </row>
    <row r="28" spans="1:13">
      <c r="A28" s="23"/>
      <c r="B28" s="24"/>
      <c r="C28" s="35"/>
      <c r="D28" s="38"/>
      <c r="E28" s="29"/>
      <c r="F28" s="174"/>
      <c r="G28" s="282"/>
      <c r="H28" s="287"/>
      <c r="I28" s="170"/>
      <c r="L28" s="31"/>
    </row>
    <row r="29" spans="1:13" s="41" customFormat="1">
      <c r="A29" s="23"/>
      <c r="B29" s="24">
        <v>3</v>
      </c>
      <c r="C29" s="35" t="s">
        <v>55</v>
      </c>
      <c r="D29" s="39"/>
      <c r="E29" s="40"/>
      <c r="F29" s="175"/>
      <c r="G29" s="283"/>
      <c r="H29" s="288">
        <f>SUM(H30:H31)</f>
        <v>0</v>
      </c>
      <c r="I29" s="170">
        <f>SUM(I30:I31)</f>
        <v>5401.4795999999997</v>
      </c>
      <c r="K29" s="153"/>
      <c r="L29" s="31"/>
      <c r="M29" s="42"/>
    </row>
    <row r="30" spans="1:13">
      <c r="A30" s="32" t="s">
        <v>742</v>
      </c>
      <c r="B30" s="33" t="s">
        <v>54</v>
      </c>
      <c r="C30" s="167" t="str">
        <f>VLOOKUP(A30,'Planilha base'!$C$11:$K$35,9,FALSE)</f>
        <v>Veículo leve - tipo hatch - (sem motorista)</v>
      </c>
      <c r="D30" s="36" t="s">
        <v>57</v>
      </c>
      <c r="E30" s="29">
        <v>2</v>
      </c>
      <c r="F30" s="43">
        <f>VLOOKUP(A30,'Planilha base'!$C$11:$K$35,6,FALSE)</f>
        <v>2700.7397999999998</v>
      </c>
      <c r="G30" s="284"/>
      <c r="H30" s="287"/>
      <c r="I30" s="168">
        <f>E30*F30</f>
        <v>5401.4795999999997</v>
      </c>
      <c r="K30" s="152"/>
      <c r="L30" s="31"/>
    </row>
    <row r="31" spans="1:13">
      <c r="A31" s="32" t="s">
        <v>743</v>
      </c>
      <c r="B31" s="33" t="s">
        <v>262</v>
      </c>
      <c r="C31" s="167" t="str">
        <f>VLOOKUP(A31,'Planilha base'!$C$11:$K$35,9,FALSE)</f>
        <v>Veículo leve - tipo pick up 4 x 4 - (sem motorista)</v>
      </c>
      <c r="D31" s="36" t="s">
        <v>57</v>
      </c>
      <c r="E31" s="29"/>
      <c r="F31" s="43">
        <f>VLOOKUP(A31,'Planilha base'!$C$11:$K$35,6,FALSE)</f>
        <v>6719.6316000000006</v>
      </c>
      <c r="G31" s="284"/>
      <c r="H31" s="287"/>
      <c r="I31" s="168">
        <f>E31*F31</f>
        <v>0</v>
      </c>
      <c r="K31" s="152"/>
      <c r="L31" s="31"/>
    </row>
    <row r="32" spans="1:13">
      <c r="A32" s="32"/>
      <c r="B32" s="33"/>
      <c r="C32" s="176"/>
      <c r="D32" s="38"/>
      <c r="E32" s="29"/>
      <c r="F32" s="43"/>
      <c r="G32" s="284"/>
      <c r="H32" s="287"/>
      <c r="I32" s="170"/>
      <c r="L32" s="31"/>
    </row>
    <row r="33" spans="1:12">
      <c r="A33" s="23"/>
      <c r="B33" s="24">
        <v>4</v>
      </c>
      <c r="C33" s="35" t="s">
        <v>252</v>
      </c>
      <c r="D33" s="39"/>
      <c r="E33" s="39"/>
      <c r="F33" s="44"/>
      <c r="G33" s="285"/>
      <c r="H33" s="288">
        <f>H34</f>
        <v>0</v>
      </c>
      <c r="I33" s="170">
        <f>I34</f>
        <v>3486</v>
      </c>
      <c r="K33" s="154"/>
      <c r="L33" s="31"/>
    </row>
    <row r="34" spans="1:12">
      <c r="A34" s="32" t="s">
        <v>744</v>
      </c>
      <c r="B34" s="33" t="s">
        <v>56</v>
      </c>
      <c r="C34" s="167" t="str">
        <f>VLOOKUP(A34,'Planilha base'!$C$11:$K$35,9,FALSE)</f>
        <v>Custos Diversos Escritório</v>
      </c>
      <c r="D34" s="36" t="s">
        <v>253</v>
      </c>
      <c r="E34" s="29">
        <f>ROUNDUP((((SUM($I$54:$I$58)/SUM($E$54:$E$58))+$F$59)/'Planilha base'!$H$38)+$E$13+$E$17+$E$23+$E$24,0)</f>
        <v>28</v>
      </c>
      <c r="F34" s="43">
        <f>VLOOKUP(A34,'Planilha base'!$C$11:$K$35,6,FALSE)</f>
        <v>124.5</v>
      </c>
      <c r="G34" s="284"/>
      <c r="H34" s="287"/>
      <c r="I34" s="168">
        <f>E34*F34</f>
        <v>3486</v>
      </c>
      <c r="K34" s="154"/>
      <c r="L34" s="31"/>
    </row>
    <row r="35" spans="1:12">
      <c r="A35" s="32"/>
      <c r="B35" s="33"/>
      <c r="C35" s="37"/>
      <c r="D35" s="38"/>
      <c r="E35" s="47"/>
      <c r="F35" s="43"/>
      <c r="G35" s="284"/>
      <c r="H35" s="287"/>
      <c r="I35" s="170"/>
      <c r="L35" s="31"/>
    </row>
    <row r="36" spans="1:12">
      <c r="A36" s="23"/>
      <c r="B36" s="24">
        <v>5</v>
      </c>
      <c r="C36" s="30" t="s">
        <v>59</v>
      </c>
      <c r="D36" s="39"/>
      <c r="E36" s="39"/>
      <c r="F36" s="44"/>
      <c r="G36" s="285"/>
      <c r="H36" s="288">
        <f>SUM(H37:H38)</f>
        <v>0</v>
      </c>
      <c r="I36" s="170">
        <f>SUM(I37:I38)</f>
        <v>21021.548750000002</v>
      </c>
      <c r="L36" s="31"/>
    </row>
    <row r="37" spans="1:12">
      <c r="A37" s="32" t="s">
        <v>745</v>
      </c>
      <c r="B37" s="33" t="s">
        <v>263</v>
      </c>
      <c r="C37" s="167" t="str">
        <f>VLOOKUP(A37,'Planilha base'!$C$11:$K$35,9,FALSE)</f>
        <v>Imóvel Comercial (2,32% do C.M.C.C - SINAPI)</v>
      </c>
      <c r="D37" s="36" t="s">
        <v>253</v>
      </c>
      <c r="E37" s="29">
        <f>ROUNDUP((((SUM($I$54:$I$58)/SUM($E$54:$E$58))+$F$59)/'Planilha base'!$H$38)+$E$13+$E$17+$E$23+$E$24,0)</f>
        <v>28</v>
      </c>
      <c r="F37" s="43">
        <f>VLOOKUP(A37,'Planilha base'!$C$11:$K$35,6,FALSE)</f>
        <v>40.049999999999997</v>
      </c>
      <c r="G37" s="284"/>
      <c r="H37" s="287"/>
      <c r="I37" s="168">
        <f>((57.95/2)+(4.5*E37))*F37</f>
        <v>6206.7487499999997</v>
      </c>
      <c r="K37" s="152"/>
      <c r="L37" s="31"/>
    </row>
    <row r="38" spans="1:12">
      <c r="A38" s="32" t="s">
        <v>746</v>
      </c>
      <c r="B38" s="33" t="s">
        <v>264</v>
      </c>
      <c r="C38" s="167" t="str">
        <f>VLOOKUP(A38,'Planilha base'!$C$11:$K$35,9,FALSE)</f>
        <v>Mobiliário Escritório</v>
      </c>
      <c r="D38" s="36" t="s">
        <v>253</v>
      </c>
      <c r="E38" s="29">
        <f>ROUNDUP((((SUM($I$54:$I$58)/SUM($E$54:$E$58))+$F$59)/'Planilha base'!$H$38)+$E$13+$E$17+$E$23+$E$24,0)</f>
        <v>28</v>
      </c>
      <c r="F38" s="43">
        <f>VLOOKUP(A38,'Planilha base'!$C$11:$K$35,6,FALSE)</f>
        <v>529.1</v>
      </c>
      <c r="G38" s="284"/>
      <c r="H38" s="287"/>
      <c r="I38" s="168">
        <f>E38*F38</f>
        <v>14814.800000000001</v>
      </c>
      <c r="K38" s="152"/>
      <c r="L38" s="31"/>
    </row>
    <row r="39" spans="1:12">
      <c r="A39" s="32"/>
      <c r="B39" s="33"/>
      <c r="C39" s="37"/>
      <c r="D39" s="38"/>
      <c r="E39" s="47"/>
      <c r="F39" s="43"/>
      <c r="G39" s="284"/>
      <c r="H39" s="287"/>
      <c r="I39" s="170"/>
      <c r="K39" s="152"/>
    </row>
    <row r="40" spans="1:12">
      <c r="A40" s="32"/>
      <c r="B40" s="24">
        <v>6</v>
      </c>
      <c r="C40" s="35" t="s">
        <v>63</v>
      </c>
      <c r="D40" s="38"/>
      <c r="E40" s="47"/>
      <c r="F40" s="43"/>
      <c r="G40" s="284"/>
      <c r="H40" s="288">
        <f>SUM(H41:H41)</f>
        <v>0</v>
      </c>
      <c r="I40" s="170">
        <f>SUM(I41:I41)</f>
        <v>48112.549999999996</v>
      </c>
      <c r="K40" s="152"/>
    </row>
    <row r="41" spans="1:12">
      <c r="A41" s="32"/>
      <c r="B41" s="33" t="s">
        <v>58</v>
      </c>
      <c r="C41" s="37" t="s">
        <v>64</v>
      </c>
      <c r="D41" s="38" t="s">
        <v>65</v>
      </c>
      <c r="E41" s="47">
        <f>Diárias!B14</f>
        <v>214</v>
      </c>
      <c r="F41" s="43">
        <f>'Planilha base'!H53</f>
        <v>224.82499999999999</v>
      </c>
      <c r="G41" s="284"/>
      <c r="H41" s="287"/>
      <c r="I41" s="168">
        <f>E41*F41</f>
        <v>48112.549999999996</v>
      </c>
      <c r="K41" s="152"/>
    </row>
    <row r="42" spans="1:12">
      <c r="A42" s="32"/>
      <c r="B42" s="33"/>
      <c r="C42" s="37"/>
      <c r="D42" s="38"/>
      <c r="E42" s="47"/>
      <c r="F42" s="43"/>
      <c r="G42" s="284"/>
      <c r="H42" s="287"/>
      <c r="I42" s="170"/>
      <c r="L42" s="31"/>
    </row>
    <row r="43" spans="1:12">
      <c r="A43" s="23"/>
      <c r="B43" s="24">
        <v>7</v>
      </c>
      <c r="C43" s="35" t="s">
        <v>66</v>
      </c>
      <c r="D43" s="39"/>
      <c r="E43" s="39"/>
      <c r="F43" s="49"/>
      <c r="G43" s="286"/>
      <c r="H43" s="288">
        <f>SUM(H44:H45)</f>
        <v>0</v>
      </c>
      <c r="I43" s="170">
        <f>SUM(I44:I45)</f>
        <v>43265.571049749997</v>
      </c>
      <c r="L43" s="31"/>
    </row>
    <row r="44" spans="1:12">
      <c r="A44" s="32"/>
      <c r="B44" s="33" t="s">
        <v>60</v>
      </c>
      <c r="C44" s="37" t="s">
        <v>67</v>
      </c>
      <c r="D44" s="47" t="s">
        <v>52</v>
      </c>
      <c r="E44" s="29">
        <f>(I22+I19+I12+I9)+(H9+H12+H19+H22)+I29+I33+I36+I40</f>
        <v>132920.34116666665</v>
      </c>
      <c r="F44" s="115">
        <f>'Planilha base'!H40</f>
        <v>0.12</v>
      </c>
      <c r="G44" s="281"/>
      <c r="H44" s="287"/>
      <c r="I44" s="168">
        <f>E44*F44</f>
        <v>15950.440939999997</v>
      </c>
      <c r="L44" s="31"/>
    </row>
    <row r="45" spans="1:12">
      <c r="A45" s="32"/>
      <c r="B45" s="33" t="s">
        <v>62</v>
      </c>
      <c r="C45" s="37" t="s">
        <v>68</v>
      </c>
      <c r="D45" s="47" t="s">
        <v>52</v>
      </c>
      <c r="E45" s="29">
        <f>(I22+I19+I12+I9)+(H9+H12+H19+H22)+I29+I33+I36+I40</f>
        <v>132920.34116666665</v>
      </c>
      <c r="F45" s="115">
        <f>'Planilha base'!H41</f>
        <v>0.20550000000000002</v>
      </c>
      <c r="G45" s="281"/>
      <c r="H45" s="287"/>
      <c r="I45" s="168">
        <f>E45*F45</f>
        <v>27315.13010975</v>
      </c>
      <c r="L45" s="31"/>
    </row>
    <row r="46" spans="1:12">
      <c r="A46" s="32"/>
      <c r="B46" s="33"/>
      <c r="C46" s="46"/>
      <c r="D46" s="47"/>
      <c r="E46" s="47"/>
      <c r="F46" s="47"/>
      <c r="G46" s="255"/>
      <c r="H46" s="289"/>
      <c r="I46" s="34"/>
      <c r="L46" s="31"/>
    </row>
    <row r="47" spans="1:12" ht="15" thickBot="1">
      <c r="A47" s="50"/>
      <c r="B47" s="51"/>
      <c r="C47" s="524" t="s">
        <v>69</v>
      </c>
      <c r="D47" s="524"/>
      <c r="E47" s="524"/>
      <c r="F47" s="524"/>
      <c r="G47" s="256"/>
      <c r="H47" s="256"/>
      <c r="I47" s="52">
        <f>I7+H7</f>
        <v>191365.41517764999</v>
      </c>
      <c r="J47" s="53"/>
      <c r="K47" s="155"/>
      <c r="L47" s="31"/>
    </row>
    <row r="48" spans="1:12" ht="15" thickBot="1">
      <c r="A48" s="50"/>
      <c r="B48" s="51"/>
      <c r="C48" s="524" t="s">
        <v>70</v>
      </c>
      <c r="D48" s="524"/>
      <c r="E48" s="524"/>
      <c r="F48" s="524"/>
      <c r="G48" s="256"/>
      <c r="H48" s="256"/>
      <c r="I48" s="52">
        <f>I47*12</f>
        <v>2296384.9821317997</v>
      </c>
      <c r="J48" s="54"/>
      <c r="K48" s="156"/>
      <c r="L48" s="31"/>
    </row>
    <row r="49" spans="1:12">
      <c r="A49" s="55"/>
      <c r="B49" s="55"/>
      <c r="C49" s="55"/>
      <c r="D49" s="56"/>
      <c r="E49" s="55"/>
      <c r="F49" s="55"/>
      <c r="G49" s="55"/>
      <c r="H49" s="55"/>
      <c r="I49" s="55"/>
    </row>
    <row r="50" spans="1:12" ht="15" thickBot="1"/>
    <row r="51" spans="1:12" ht="15.6">
      <c r="A51" s="525" t="s">
        <v>71</v>
      </c>
      <c r="B51" s="525"/>
      <c r="C51" s="525"/>
      <c r="D51" s="525"/>
      <c r="E51" s="525"/>
      <c r="F51" s="525"/>
      <c r="G51" s="526"/>
      <c r="H51" s="526"/>
      <c r="I51" s="525"/>
    </row>
    <row r="52" spans="1:12" ht="15" thickBot="1">
      <c r="A52" s="58"/>
      <c r="B52" s="58"/>
      <c r="C52" s="59"/>
      <c r="D52" s="59"/>
      <c r="E52" s="59"/>
      <c r="F52" s="60"/>
      <c r="G52" s="60"/>
      <c r="H52" s="60"/>
    </row>
    <row r="53" spans="1:12">
      <c r="A53" s="527" t="s">
        <v>12</v>
      </c>
      <c r="B53" s="528"/>
      <c r="C53" s="139" t="s">
        <v>14</v>
      </c>
      <c r="D53" s="140"/>
      <c r="E53" s="141" t="s">
        <v>72</v>
      </c>
      <c r="F53" s="141" t="s">
        <v>73</v>
      </c>
      <c r="G53" s="263"/>
      <c r="H53" s="263"/>
      <c r="I53" s="142" t="s">
        <v>74</v>
      </c>
    </row>
    <row r="54" spans="1:12">
      <c r="A54" s="503" t="s">
        <v>75</v>
      </c>
      <c r="B54" s="504"/>
      <c r="C54" s="177" t="s">
        <v>76</v>
      </c>
      <c r="D54" s="178"/>
      <c r="E54" s="84">
        <f>'Relatorios LOTE 01'!D127</f>
        <v>1</v>
      </c>
      <c r="F54" s="86">
        <f>'Relatorios LOTE 01'!D19</f>
        <v>2422.6320000000005</v>
      </c>
      <c r="G54" s="257"/>
      <c r="H54" s="257"/>
      <c r="I54" s="85">
        <f t="shared" ref="I54:I59" si="4">F54*E54</f>
        <v>2422.6320000000005</v>
      </c>
    </row>
    <row r="55" spans="1:12">
      <c r="A55" s="503" t="s">
        <v>77</v>
      </c>
      <c r="B55" s="504"/>
      <c r="C55" s="177" t="s">
        <v>78</v>
      </c>
      <c r="D55" s="178"/>
      <c r="E55" s="84">
        <f>'Relatorios LOTE 01'!D128</f>
        <v>1</v>
      </c>
      <c r="F55" s="86">
        <f>'Relatorios LOTE 01'!D39</f>
        <v>3290.4053333333336</v>
      </c>
      <c r="G55" s="257"/>
      <c r="H55" s="257"/>
      <c r="I55" s="85">
        <f t="shared" si="4"/>
        <v>3290.4053333333336</v>
      </c>
    </row>
    <row r="56" spans="1:12">
      <c r="A56" s="503" t="s">
        <v>79</v>
      </c>
      <c r="B56" s="504"/>
      <c r="C56" s="177" t="s">
        <v>80</v>
      </c>
      <c r="D56" s="178"/>
      <c r="E56" s="84">
        <f>'Relatorios LOTE 01'!D129</f>
        <v>1</v>
      </c>
      <c r="F56" s="86">
        <f>'Relatorios LOTE 01'!D59</f>
        <v>3314.285123333334</v>
      </c>
      <c r="G56" s="257"/>
      <c r="H56" s="257"/>
      <c r="I56" s="85">
        <f t="shared" si="4"/>
        <v>3314.285123333334</v>
      </c>
    </row>
    <row r="57" spans="1:12">
      <c r="A57" s="503" t="s">
        <v>81</v>
      </c>
      <c r="B57" s="504"/>
      <c r="C57" s="177" t="s">
        <v>82</v>
      </c>
      <c r="D57" s="178"/>
      <c r="E57" s="84">
        <f>'Relatorios LOTE 01'!D130</f>
        <v>1</v>
      </c>
      <c r="F57" s="86">
        <f>'Relatorios LOTE 01'!D79</f>
        <v>2305.6114366666666</v>
      </c>
      <c r="G57" s="257"/>
      <c r="H57" s="257"/>
      <c r="I57" s="85">
        <f t="shared" si="4"/>
        <v>2305.6114366666666</v>
      </c>
    </row>
    <row r="58" spans="1:12">
      <c r="A58" s="503" t="s">
        <v>83</v>
      </c>
      <c r="B58" s="504"/>
      <c r="C58" s="177" t="s">
        <v>84</v>
      </c>
      <c r="D58" s="178"/>
      <c r="E58" s="84">
        <f>'Relatorios LOTE 01'!D131</f>
        <v>1</v>
      </c>
      <c r="F58" s="86">
        <f>'Relatorios LOTE 01'!D99</f>
        <v>2310.9734733333335</v>
      </c>
      <c r="G58" s="257"/>
      <c r="H58" s="257"/>
      <c r="I58" s="85">
        <f t="shared" si="4"/>
        <v>2310.9734733333335</v>
      </c>
    </row>
    <row r="59" spans="1:12">
      <c r="A59" s="503" t="s">
        <v>85</v>
      </c>
      <c r="B59" s="504"/>
      <c r="C59" s="177" t="s">
        <v>86</v>
      </c>
      <c r="D59" s="178"/>
      <c r="E59" s="84">
        <f>'Relatorios LOTE 01'!D132</f>
        <v>12</v>
      </c>
      <c r="F59" s="86">
        <f>'Relatorios LOTE 01'!D120</f>
        <v>1642.41</v>
      </c>
      <c r="G59" s="257"/>
      <c r="H59" s="257"/>
      <c r="I59" s="85">
        <f t="shared" si="4"/>
        <v>19708.920000000002</v>
      </c>
      <c r="L59" s="253"/>
    </row>
    <row r="60" spans="1:12">
      <c r="A60" s="503"/>
      <c r="B60" s="504"/>
      <c r="C60" s="177"/>
      <c r="D60" s="178"/>
      <c r="E60" s="84"/>
      <c r="F60" s="86"/>
      <c r="G60" s="257"/>
      <c r="H60" s="257"/>
      <c r="I60" s="85"/>
    </row>
    <row r="61" spans="1:12">
      <c r="A61" s="531"/>
      <c r="B61" s="532"/>
      <c r="C61" s="87"/>
      <c r="D61" s="83"/>
      <c r="E61" s="88"/>
      <c r="F61" s="89" t="s">
        <v>87</v>
      </c>
      <c r="G61" s="258"/>
      <c r="H61" s="258"/>
      <c r="I61" s="90">
        <f>SUM(I54:I59)</f>
        <v>33352.827366666672</v>
      </c>
    </row>
    <row r="62" spans="1:12">
      <c r="A62" s="531"/>
      <c r="B62" s="532"/>
      <c r="C62" s="87"/>
      <c r="D62" s="83"/>
      <c r="E62" s="88"/>
      <c r="F62" s="88"/>
      <c r="G62" s="259"/>
      <c r="H62" s="259"/>
      <c r="I62" s="91" t="s">
        <v>73</v>
      </c>
    </row>
    <row r="63" spans="1:12">
      <c r="A63" s="531"/>
      <c r="B63" s="532"/>
      <c r="C63" s="92" t="s">
        <v>88</v>
      </c>
      <c r="D63" s="83"/>
      <c r="E63" s="88"/>
      <c r="F63" s="88"/>
      <c r="G63" s="259"/>
      <c r="H63" s="259"/>
      <c r="I63" s="85"/>
    </row>
    <row r="64" spans="1:12">
      <c r="A64" s="531"/>
      <c r="B64" s="532"/>
      <c r="C64" s="92" t="s">
        <v>89</v>
      </c>
      <c r="D64" s="83"/>
      <c r="E64" s="88"/>
      <c r="F64" s="88" t="s">
        <v>90</v>
      </c>
      <c r="G64" s="259"/>
      <c r="H64" s="259"/>
      <c r="I64" s="85">
        <f>I48</f>
        <v>2296384.9821317997</v>
      </c>
    </row>
    <row r="65" spans="1:9">
      <c r="A65" s="531"/>
      <c r="B65" s="532"/>
      <c r="C65" s="92" t="s">
        <v>91</v>
      </c>
      <c r="D65" s="83"/>
      <c r="E65" s="88"/>
      <c r="F65" s="88" t="s">
        <v>73</v>
      </c>
      <c r="G65" s="259"/>
      <c r="H65" s="259"/>
      <c r="I65" s="85">
        <f>I61</f>
        <v>33352.827366666672</v>
      </c>
    </row>
    <row r="66" spans="1:9">
      <c r="A66" s="533"/>
      <c r="B66" s="534"/>
      <c r="C66" s="93" t="s">
        <v>92</v>
      </c>
      <c r="D66" s="94"/>
      <c r="E66" s="95"/>
      <c r="F66" s="95" t="s">
        <v>93</v>
      </c>
      <c r="G66" s="260"/>
      <c r="H66" s="260"/>
      <c r="I66" s="96">
        <f>ROUND(I64/I65,2)</f>
        <v>68.849999999999994</v>
      </c>
    </row>
    <row r="67" spans="1:9" ht="15" thickBot="1">
      <c r="A67" s="529"/>
      <c r="B67" s="530"/>
      <c r="C67" s="61"/>
      <c r="D67" s="62"/>
      <c r="E67" s="63"/>
      <c r="F67" s="63"/>
      <c r="G67" s="261"/>
      <c r="H67" s="261"/>
      <c r="I67" s="64"/>
    </row>
  </sheetData>
  <mergeCells count="24">
    <mergeCell ref="A67:B67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55:B55"/>
    <mergeCell ref="A1:I1"/>
    <mergeCell ref="A2:B2"/>
    <mergeCell ref="C2:E2"/>
    <mergeCell ref="F2:I3"/>
    <mergeCell ref="A3:B3"/>
    <mergeCell ref="C3:E3"/>
    <mergeCell ref="C47:F47"/>
    <mergeCell ref="C48:F48"/>
    <mergeCell ref="A51:I51"/>
    <mergeCell ref="A53:B53"/>
    <mergeCell ref="A54:B54"/>
  </mergeCells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49" max="16383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D4D3-CACB-409F-A24D-80AAA0BCDAF3}">
  <sheetPr>
    <tabColor rgb="FF92D050"/>
    <pageSetUpPr fitToPage="1"/>
  </sheetPr>
  <dimension ref="A2:W10"/>
  <sheetViews>
    <sheetView showGridLines="0" zoomScale="70" zoomScaleNormal="70" zoomScaleSheetLayoutView="70" workbookViewId="0">
      <pane xSplit="2" ySplit="4" topLeftCell="P5" activePane="bottomRight" state="frozen"/>
      <selection activeCell="K5" sqref="K5"/>
      <selection pane="topRight" activeCell="K5" sqref="K5"/>
      <selection pane="bottomLeft" activeCell="K5" sqref="K5"/>
      <selection pane="bottomRight" activeCell="K5" sqref="K5"/>
    </sheetView>
  </sheetViews>
  <sheetFormatPr defaultColWidth="9.109375" defaultRowHeight="13.8"/>
  <cols>
    <col min="1" max="1" width="5" style="435" customWidth="1"/>
    <col min="2" max="2" width="44.109375" style="435" customWidth="1"/>
    <col min="3" max="3" width="14.109375" style="435" customWidth="1"/>
    <col min="4" max="4" width="13.33203125" style="435" customWidth="1"/>
    <col min="5" max="5" width="9.44140625" style="435" customWidth="1"/>
    <col min="6" max="7" width="14.44140625" style="435" customWidth="1"/>
    <col min="8" max="8" width="12.109375" style="435" customWidth="1"/>
    <col min="9" max="10" width="15.33203125" style="435" customWidth="1"/>
    <col min="11" max="11" width="9.44140625" style="435" customWidth="1"/>
    <col min="12" max="13" width="14" style="435" customWidth="1"/>
    <col min="14" max="14" width="12.109375" style="435" customWidth="1"/>
    <col min="15" max="15" width="91.5546875" style="435" customWidth="1"/>
    <col min="16" max="17" width="15.33203125" style="435" customWidth="1"/>
    <col min="18" max="18" width="9.109375" style="435"/>
    <col min="19" max="20" width="13.44140625" style="435" customWidth="1"/>
    <col min="21" max="21" width="9.109375" style="435"/>
    <col min="22" max="22" width="105.5546875" style="435" customWidth="1"/>
    <col min="23" max="16384" width="9.109375" style="435"/>
  </cols>
  <sheetData>
    <row r="2" spans="1:23" ht="21">
      <c r="A2" s="733" t="s">
        <v>509</v>
      </c>
      <c r="B2" s="734"/>
      <c r="C2" s="734" t="s">
        <v>479</v>
      </c>
      <c r="D2" s="734"/>
      <c r="E2" s="734"/>
      <c r="F2" s="734"/>
      <c r="G2" s="734"/>
      <c r="H2" s="734"/>
      <c r="I2" s="734"/>
      <c r="J2" s="734"/>
      <c r="K2" s="734"/>
      <c r="L2" s="734"/>
      <c r="M2" s="734"/>
      <c r="N2" s="734"/>
      <c r="O2" s="734"/>
    </row>
    <row r="3" spans="1:23" s="436" customFormat="1" ht="18" customHeight="1">
      <c r="A3" s="735" t="s">
        <v>480</v>
      </c>
      <c r="B3" s="735"/>
      <c r="C3" s="736" t="s">
        <v>481</v>
      </c>
      <c r="D3" s="737"/>
      <c r="E3" s="717" t="s">
        <v>482</v>
      </c>
      <c r="F3" s="738" t="s">
        <v>483</v>
      </c>
      <c r="G3" s="739"/>
      <c r="H3" s="717" t="s">
        <v>482</v>
      </c>
      <c r="I3" s="736" t="s">
        <v>484</v>
      </c>
      <c r="J3" s="737"/>
      <c r="K3" s="717" t="s">
        <v>482</v>
      </c>
      <c r="L3" s="738" t="s">
        <v>483</v>
      </c>
      <c r="M3" s="739"/>
      <c r="N3" s="717" t="s">
        <v>482</v>
      </c>
      <c r="O3" s="735" t="s">
        <v>485</v>
      </c>
      <c r="P3" s="736" t="s">
        <v>486</v>
      </c>
      <c r="Q3" s="737"/>
      <c r="R3" s="717" t="s">
        <v>482</v>
      </c>
      <c r="S3" s="738" t="s">
        <v>483</v>
      </c>
      <c r="T3" s="739"/>
      <c r="U3" s="717" t="s">
        <v>482</v>
      </c>
      <c r="V3" s="735" t="s">
        <v>485</v>
      </c>
    </row>
    <row r="4" spans="1:23" s="436" customFormat="1" ht="40.5" customHeight="1">
      <c r="A4" s="735"/>
      <c r="B4" s="735"/>
      <c r="C4" s="437" t="s">
        <v>487</v>
      </c>
      <c r="D4" s="437" t="s">
        <v>488</v>
      </c>
      <c r="E4" s="718"/>
      <c r="F4" s="438" t="s">
        <v>489</v>
      </c>
      <c r="G4" s="438" t="s">
        <v>490</v>
      </c>
      <c r="H4" s="718"/>
      <c r="I4" s="437" t="s">
        <v>487</v>
      </c>
      <c r="J4" s="437" t="s">
        <v>488</v>
      </c>
      <c r="K4" s="718"/>
      <c r="L4" s="438" t="s">
        <v>489</v>
      </c>
      <c r="M4" s="438" t="s">
        <v>490</v>
      </c>
      <c r="N4" s="718"/>
      <c r="O4" s="735"/>
      <c r="P4" s="437" t="s">
        <v>487</v>
      </c>
      <c r="Q4" s="437" t="s">
        <v>488</v>
      </c>
      <c r="R4" s="718"/>
      <c r="S4" s="438" t="s">
        <v>489</v>
      </c>
      <c r="T4" s="438" t="s">
        <v>490</v>
      </c>
      <c r="U4" s="718"/>
      <c r="V4" s="735"/>
    </row>
    <row r="5" spans="1:23" s="443" customFormat="1" ht="42" customHeight="1">
      <c r="A5" s="439" t="s">
        <v>491</v>
      </c>
      <c r="B5" s="439" t="s">
        <v>492</v>
      </c>
      <c r="C5" s="440">
        <v>43580</v>
      </c>
      <c r="D5" s="440">
        <v>43615</v>
      </c>
      <c r="E5" s="441">
        <f>D5-C5</f>
        <v>35</v>
      </c>
      <c r="F5" s="441" t="s">
        <v>493</v>
      </c>
      <c r="G5" s="441" t="s">
        <v>493</v>
      </c>
      <c r="H5" s="441" t="s">
        <v>493</v>
      </c>
      <c r="I5" s="440">
        <v>43963</v>
      </c>
      <c r="J5" s="440">
        <v>44000</v>
      </c>
      <c r="K5" s="441">
        <f>J5-I5</f>
        <v>37</v>
      </c>
      <c r="L5" s="441" t="s">
        <v>493</v>
      </c>
      <c r="M5" s="441" t="s">
        <v>493</v>
      </c>
      <c r="N5" s="441" t="s">
        <v>493</v>
      </c>
      <c r="O5" s="442" t="s">
        <v>494</v>
      </c>
      <c r="P5" s="440">
        <v>44310</v>
      </c>
      <c r="Q5" s="440">
        <v>44391</v>
      </c>
      <c r="R5" s="461">
        <f>NETWORKDAYS(P5,Q5,)</f>
        <v>58</v>
      </c>
      <c r="S5" s="441"/>
      <c r="T5" s="441"/>
      <c r="U5" s="461">
        <f>NETWORKDAYS(S5,T5,)</f>
        <v>0</v>
      </c>
      <c r="V5" s="442" t="s">
        <v>510</v>
      </c>
      <c r="W5" s="466">
        <f>AVERAGE(SUM(E5,H5),SUM(K5,N5),SUM(R5,U5))</f>
        <v>43.333333333333336</v>
      </c>
    </row>
    <row r="6" spans="1:23" s="443" customFormat="1" ht="40.5" customHeight="1">
      <c r="A6" s="740" t="s">
        <v>496</v>
      </c>
      <c r="B6" s="439" t="s">
        <v>497</v>
      </c>
      <c r="C6" s="440">
        <v>43724</v>
      </c>
      <c r="D6" s="440">
        <v>43783</v>
      </c>
      <c r="E6" s="441">
        <f t="shared" ref="E6" si="0">D6-C6</f>
        <v>59</v>
      </c>
      <c r="F6" s="440">
        <v>43801</v>
      </c>
      <c r="G6" s="440">
        <v>43803</v>
      </c>
      <c r="H6" s="441">
        <f t="shared" ref="H6" si="1">G6-F6</f>
        <v>2</v>
      </c>
      <c r="I6" s="440">
        <v>44098</v>
      </c>
      <c r="J6" s="445" t="s">
        <v>511</v>
      </c>
      <c r="K6" s="441">
        <v>9</v>
      </c>
      <c r="L6" s="440">
        <v>44166</v>
      </c>
      <c r="M6" s="440">
        <v>44175</v>
      </c>
      <c r="N6" s="441">
        <f>M6-L6</f>
        <v>9</v>
      </c>
      <c r="O6" s="442" t="s">
        <v>512</v>
      </c>
      <c r="P6" s="444">
        <v>44323</v>
      </c>
      <c r="Q6" s="440">
        <v>44382</v>
      </c>
      <c r="R6" s="461">
        <f t="shared" ref="R6:R9" si="2">NETWORKDAYS(P6,Q6,)</f>
        <v>42</v>
      </c>
      <c r="S6" s="440">
        <v>44397</v>
      </c>
      <c r="T6" s="440">
        <v>44405</v>
      </c>
      <c r="U6" s="461">
        <f t="shared" ref="U6:U9" si="3">NETWORKDAYS(S6,T6,)</f>
        <v>7</v>
      </c>
      <c r="V6" s="442" t="s">
        <v>513</v>
      </c>
      <c r="W6" s="466">
        <f t="shared" ref="W6:W9" si="4">AVERAGE(SUM(E6,H6),SUM(K6,N6),SUM(R6,U6))</f>
        <v>42.666666666666664</v>
      </c>
    </row>
    <row r="7" spans="1:23" s="443" customFormat="1" ht="44.25" customHeight="1">
      <c r="A7" s="740"/>
      <c r="B7" s="439" t="s">
        <v>499</v>
      </c>
      <c r="C7" s="444">
        <v>43724</v>
      </c>
      <c r="D7" s="444">
        <v>43783</v>
      </c>
      <c r="E7" s="441">
        <f>D7-C7</f>
        <v>59</v>
      </c>
      <c r="F7" s="444">
        <v>43794</v>
      </c>
      <c r="G7" s="444">
        <v>43802</v>
      </c>
      <c r="H7" s="441">
        <f>G7-F7</f>
        <v>8</v>
      </c>
      <c r="I7" s="444">
        <v>44095</v>
      </c>
      <c r="J7" s="440">
        <v>44154</v>
      </c>
      <c r="K7" s="441">
        <f t="shared" ref="K7:K9" si="5">J7-I7</f>
        <v>59</v>
      </c>
      <c r="L7" s="440">
        <v>44167</v>
      </c>
      <c r="M7" s="440">
        <v>44180</v>
      </c>
      <c r="N7" s="441">
        <f>M7-L7</f>
        <v>13</v>
      </c>
      <c r="O7" s="442" t="s">
        <v>514</v>
      </c>
      <c r="P7" s="444">
        <v>44298</v>
      </c>
      <c r="Q7" s="440">
        <v>44357</v>
      </c>
      <c r="R7" s="461">
        <f t="shared" si="2"/>
        <v>44</v>
      </c>
      <c r="S7" s="440">
        <v>44368</v>
      </c>
      <c r="T7" s="440">
        <v>44383</v>
      </c>
      <c r="U7" s="461">
        <f t="shared" si="3"/>
        <v>12</v>
      </c>
      <c r="V7" s="442" t="s">
        <v>515</v>
      </c>
      <c r="W7" s="466">
        <f t="shared" si="4"/>
        <v>65</v>
      </c>
    </row>
    <row r="8" spans="1:23" s="443" customFormat="1" ht="43.5" customHeight="1">
      <c r="A8" s="439" t="s">
        <v>502</v>
      </c>
      <c r="B8" s="439" t="s">
        <v>503</v>
      </c>
      <c r="C8" s="444">
        <v>43607</v>
      </c>
      <c r="D8" s="444">
        <v>43646</v>
      </c>
      <c r="E8" s="441">
        <f>D8-C8</f>
        <v>39</v>
      </c>
      <c r="F8" s="440" t="s">
        <v>493</v>
      </c>
      <c r="G8" s="440" t="s">
        <v>493</v>
      </c>
      <c r="H8" s="441" t="s">
        <v>493</v>
      </c>
      <c r="I8" s="444">
        <v>43955</v>
      </c>
      <c r="J8" s="440">
        <v>44014</v>
      </c>
      <c r="K8" s="441">
        <f t="shared" si="5"/>
        <v>59</v>
      </c>
      <c r="L8" s="440" t="s">
        <v>493</v>
      </c>
      <c r="M8" s="440" t="s">
        <v>493</v>
      </c>
      <c r="N8" s="441" t="s">
        <v>493</v>
      </c>
      <c r="O8" s="442" t="s">
        <v>516</v>
      </c>
      <c r="P8" s="444">
        <v>44319</v>
      </c>
      <c r="Q8" s="440">
        <v>44378</v>
      </c>
      <c r="R8" s="461">
        <f t="shared" si="2"/>
        <v>44</v>
      </c>
      <c r="S8" s="440"/>
      <c r="T8" s="440"/>
      <c r="U8" s="461">
        <f t="shared" si="3"/>
        <v>0</v>
      </c>
      <c r="V8" s="442" t="s">
        <v>505</v>
      </c>
      <c r="W8" s="466">
        <f t="shared" si="4"/>
        <v>47.333333333333336</v>
      </c>
    </row>
    <row r="9" spans="1:23" s="443" customFormat="1" ht="33.75" customHeight="1">
      <c r="A9" s="439" t="s">
        <v>506</v>
      </c>
      <c r="B9" s="442" t="s">
        <v>507</v>
      </c>
      <c r="C9" s="444">
        <v>43578</v>
      </c>
      <c r="D9" s="444">
        <v>43629</v>
      </c>
      <c r="E9" s="441">
        <f t="shared" ref="E9" si="6">D9-C9</f>
        <v>51</v>
      </c>
      <c r="F9" s="440" t="s">
        <v>493</v>
      </c>
      <c r="G9" s="440" t="s">
        <v>493</v>
      </c>
      <c r="H9" s="441" t="s">
        <v>493</v>
      </c>
      <c r="I9" s="444">
        <v>43944</v>
      </c>
      <c r="J9" s="440">
        <v>43993</v>
      </c>
      <c r="K9" s="441">
        <f t="shared" si="5"/>
        <v>49</v>
      </c>
      <c r="L9" s="440" t="s">
        <v>493</v>
      </c>
      <c r="M9" s="440" t="s">
        <v>493</v>
      </c>
      <c r="N9" s="441" t="s">
        <v>493</v>
      </c>
      <c r="O9" s="439" t="s">
        <v>508</v>
      </c>
      <c r="P9" s="444">
        <v>44298</v>
      </c>
      <c r="Q9" s="440">
        <v>44357</v>
      </c>
      <c r="R9" s="461">
        <f t="shared" si="2"/>
        <v>44</v>
      </c>
      <c r="S9" s="440"/>
      <c r="T9" s="440"/>
      <c r="U9" s="461">
        <f t="shared" si="3"/>
        <v>0</v>
      </c>
      <c r="V9" s="439"/>
      <c r="W9" s="466">
        <f t="shared" si="4"/>
        <v>48</v>
      </c>
    </row>
    <row r="10" spans="1:23">
      <c r="W10" s="468">
        <f>SUM(W5:W9)</f>
        <v>246.33333333333334</v>
      </c>
    </row>
  </sheetData>
  <mergeCells count="18">
    <mergeCell ref="V3:V4"/>
    <mergeCell ref="A6:A7"/>
    <mergeCell ref="N3:N4"/>
    <mergeCell ref="O3:O4"/>
    <mergeCell ref="P3:Q3"/>
    <mergeCell ref="R3:R4"/>
    <mergeCell ref="S3:T3"/>
    <mergeCell ref="U3:U4"/>
    <mergeCell ref="A2:B2"/>
    <mergeCell ref="C2:O2"/>
    <mergeCell ref="A3:B4"/>
    <mergeCell ref="C3:D3"/>
    <mergeCell ref="E3:E4"/>
    <mergeCell ref="F3:G3"/>
    <mergeCell ref="H3:H4"/>
    <mergeCell ref="I3:J3"/>
    <mergeCell ref="K3:K4"/>
    <mergeCell ref="L3:M3"/>
  </mergeCells>
  <printOptions horizontalCentere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DAEBB-C916-4D0B-B8DA-2D8F1B6BA8B0}">
  <sheetPr>
    <tabColor rgb="FF92D050"/>
    <pageSetUpPr fitToPage="1"/>
  </sheetPr>
  <dimension ref="A2:W10"/>
  <sheetViews>
    <sheetView showGridLines="0" zoomScale="77" zoomScaleNormal="77" zoomScaleSheetLayoutView="70" workbookViewId="0">
      <pane xSplit="2" ySplit="4" topLeftCell="P5" activePane="bottomRight" state="frozen"/>
      <selection activeCell="K5" sqref="K5"/>
      <selection pane="topRight" activeCell="K5" sqref="K5"/>
      <selection pane="bottomLeft" activeCell="K5" sqref="K5"/>
      <selection pane="bottomRight" activeCell="K5" sqref="K5"/>
    </sheetView>
  </sheetViews>
  <sheetFormatPr defaultColWidth="9.109375" defaultRowHeight="13.8"/>
  <cols>
    <col min="1" max="1" width="5" style="435" customWidth="1"/>
    <col min="2" max="2" width="43" style="435" customWidth="1"/>
    <col min="3" max="3" width="12.88671875" style="435" customWidth="1"/>
    <col min="4" max="4" width="14.109375" style="435" customWidth="1"/>
    <col min="5" max="5" width="9.44140625" style="435" customWidth="1"/>
    <col min="6" max="7" width="12.109375" style="435" customWidth="1"/>
    <col min="8" max="8" width="9.109375" style="435" customWidth="1"/>
    <col min="9" max="9" width="14.5546875" style="435" customWidth="1"/>
    <col min="10" max="10" width="13.33203125" style="435" customWidth="1"/>
    <col min="11" max="11" width="9.44140625" style="435" customWidth="1"/>
    <col min="12" max="13" width="12.109375" style="435" customWidth="1"/>
    <col min="14" max="14" width="9.5546875" style="435" customWidth="1"/>
    <col min="15" max="15" width="67" style="435" customWidth="1"/>
    <col min="16" max="17" width="14.6640625" style="435" customWidth="1"/>
    <col min="18" max="18" width="9.109375" style="435"/>
    <col min="19" max="20" width="12.33203125" style="435" customWidth="1"/>
    <col min="21" max="21" width="9.109375" style="435"/>
    <col min="22" max="22" width="85" style="435" customWidth="1"/>
    <col min="23" max="23" width="9.6640625" style="435" bestFit="1" customWidth="1"/>
    <col min="24" max="16384" width="9.109375" style="435"/>
  </cols>
  <sheetData>
    <row r="2" spans="1:23" ht="101.25" customHeight="1">
      <c r="A2" s="733" t="s">
        <v>478</v>
      </c>
      <c r="B2" s="734"/>
      <c r="C2" s="734" t="s">
        <v>479</v>
      </c>
      <c r="D2" s="734"/>
      <c r="E2" s="734"/>
      <c r="F2" s="734"/>
      <c r="G2" s="734"/>
      <c r="H2" s="734"/>
      <c r="I2" s="734"/>
      <c r="J2" s="734"/>
      <c r="K2" s="734"/>
      <c r="L2" s="734"/>
      <c r="M2" s="734"/>
      <c r="N2" s="734"/>
      <c r="O2" s="734"/>
      <c r="T2" s="435">
        <v>3</v>
      </c>
    </row>
    <row r="3" spans="1:23" s="436" customFormat="1" ht="18" customHeight="1">
      <c r="A3" s="735" t="s">
        <v>480</v>
      </c>
      <c r="B3" s="735"/>
      <c r="C3" s="736" t="s">
        <v>481</v>
      </c>
      <c r="D3" s="737"/>
      <c r="E3" s="717" t="s">
        <v>482</v>
      </c>
      <c r="F3" s="738" t="s">
        <v>483</v>
      </c>
      <c r="G3" s="739"/>
      <c r="H3" s="717" t="s">
        <v>482</v>
      </c>
      <c r="I3" s="736" t="s">
        <v>484</v>
      </c>
      <c r="J3" s="737"/>
      <c r="K3" s="717" t="s">
        <v>482</v>
      </c>
      <c r="L3" s="738" t="s">
        <v>483</v>
      </c>
      <c r="M3" s="739"/>
      <c r="N3" s="717" t="s">
        <v>482</v>
      </c>
      <c r="O3" s="735" t="s">
        <v>485</v>
      </c>
      <c r="P3" s="736" t="s">
        <v>486</v>
      </c>
      <c r="Q3" s="737"/>
      <c r="R3" s="717" t="s">
        <v>482</v>
      </c>
      <c r="S3" s="738" t="s">
        <v>483</v>
      </c>
      <c r="T3" s="739"/>
      <c r="U3" s="717" t="s">
        <v>482</v>
      </c>
      <c r="V3" s="735" t="s">
        <v>485</v>
      </c>
    </row>
    <row r="4" spans="1:23" s="436" customFormat="1" ht="18" customHeight="1">
      <c r="A4" s="735"/>
      <c r="B4" s="735"/>
      <c r="C4" s="437" t="s">
        <v>487</v>
      </c>
      <c r="D4" s="437" t="s">
        <v>488</v>
      </c>
      <c r="E4" s="718"/>
      <c r="F4" s="438" t="s">
        <v>489</v>
      </c>
      <c r="G4" s="438" t="s">
        <v>490</v>
      </c>
      <c r="H4" s="718"/>
      <c r="I4" s="437" t="s">
        <v>487</v>
      </c>
      <c r="J4" s="437" t="s">
        <v>488</v>
      </c>
      <c r="K4" s="718"/>
      <c r="L4" s="438" t="s">
        <v>489</v>
      </c>
      <c r="M4" s="438" t="s">
        <v>490</v>
      </c>
      <c r="N4" s="718"/>
      <c r="O4" s="735"/>
      <c r="P4" s="437" t="s">
        <v>487</v>
      </c>
      <c r="Q4" s="437" t="s">
        <v>488</v>
      </c>
      <c r="R4" s="718"/>
      <c r="S4" s="438" t="s">
        <v>489</v>
      </c>
      <c r="T4" s="438" t="s">
        <v>490</v>
      </c>
      <c r="U4" s="718"/>
      <c r="V4" s="735"/>
    </row>
    <row r="5" spans="1:23" s="443" customFormat="1" ht="45" customHeight="1">
      <c r="A5" s="439" t="s">
        <v>491</v>
      </c>
      <c r="B5" s="439" t="s">
        <v>492</v>
      </c>
      <c r="C5" s="440">
        <v>43562</v>
      </c>
      <c r="D5" s="440">
        <v>43615</v>
      </c>
      <c r="E5" s="461">
        <f>NETWORKDAYS(C5,D5,)</f>
        <v>39</v>
      </c>
      <c r="F5" s="441"/>
      <c r="G5" s="441"/>
      <c r="H5" s="461">
        <f>NETWORKDAYS(F5,G5,)</f>
        <v>0</v>
      </c>
      <c r="I5" s="440">
        <v>43959</v>
      </c>
      <c r="J5" s="440">
        <v>44000</v>
      </c>
      <c r="K5" s="461">
        <f>NETWORKDAYS(I5,J5,)</f>
        <v>30</v>
      </c>
      <c r="L5" s="441"/>
      <c r="M5" s="441"/>
      <c r="N5" s="461">
        <f>NETWORKDAYS(L5,M5,)</f>
        <v>0</v>
      </c>
      <c r="O5" s="442" t="s">
        <v>494</v>
      </c>
      <c r="P5" s="440">
        <v>44308</v>
      </c>
      <c r="Q5" s="440">
        <v>44404</v>
      </c>
      <c r="R5" s="461">
        <f>NETWORKDAYS(P5,Q5,)</f>
        <v>69</v>
      </c>
      <c r="S5" s="441"/>
      <c r="T5" s="441"/>
      <c r="U5" s="461">
        <f>NETWORKDAYS(S5,T5,)</f>
        <v>0</v>
      </c>
      <c r="V5" s="442" t="s">
        <v>495</v>
      </c>
      <c r="W5" s="466">
        <f>AVERAGE(SUM(E5,H5),SUM(K5,N5),SUM(R5,U5))</f>
        <v>46</v>
      </c>
    </row>
    <row r="6" spans="1:23" s="443" customFormat="1" ht="46.5" customHeight="1">
      <c r="A6" s="740" t="s">
        <v>496</v>
      </c>
      <c r="B6" s="439" t="s">
        <v>497</v>
      </c>
      <c r="C6" s="444">
        <v>43689</v>
      </c>
      <c r="D6" s="440">
        <v>43748</v>
      </c>
      <c r="E6" s="461">
        <f t="shared" ref="E6:E9" si="0">NETWORKDAYS(C6,D6,)</f>
        <v>44</v>
      </c>
      <c r="F6" s="440">
        <v>43759</v>
      </c>
      <c r="G6" s="440">
        <v>43769</v>
      </c>
      <c r="H6" s="461">
        <f t="shared" ref="H6:H9" si="1">NETWORKDAYS(F6,G6,)</f>
        <v>9</v>
      </c>
      <c r="I6" s="444">
        <v>44066</v>
      </c>
      <c r="J6" s="440">
        <v>44112</v>
      </c>
      <c r="K6" s="461">
        <f t="shared" ref="K6:K9" si="2">NETWORKDAYS(I6,J6,)</f>
        <v>34</v>
      </c>
      <c r="L6" s="440">
        <v>44127</v>
      </c>
      <c r="M6" s="440">
        <v>44130</v>
      </c>
      <c r="N6" s="461">
        <f t="shared" ref="N6:N9" si="3">NETWORKDAYS(L6,M6,)</f>
        <v>2</v>
      </c>
      <c r="O6" s="442" t="s">
        <v>498</v>
      </c>
      <c r="P6" s="444">
        <v>44273</v>
      </c>
      <c r="Q6" s="440">
        <v>44324</v>
      </c>
      <c r="R6" s="461">
        <f t="shared" ref="R6:R9" si="4">NETWORKDAYS(P6,Q6,)</f>
        <v>37</v>
      </c>
      <c r="S6" s="440">
        <v>44336</v>
      </c>
      <c r="T6" s="440">
        <v>44338</v>
      </c>
      <c r="U6" s="461">
        <f t="shared" ref="U6:U9" si="5">NETWORKDAYS(S6,T6,)</f>
        <v>2</v>
      </c>
      <c r="V6" s="442" t="s">
        <v>498</v>
      </c>
      <c r="W6" s="466">
        <f t="shared" ref="W6:W9" si="6">AVERAGE(SUM(E6,H6),SUM(K6,N6),SUM(R6,U6))</f>
        <v>42.666666666666664</v>
      </c>
    </row>
    <row r="7" spans="1:23" s="443" customFormat="1" ht="61.5" customHeight="1">
      <c r="A7" s="740"/>
      <c r="B7" s="439" t="s">
        <v>499</v>
      </c>
      <c r="C7" s="444">
        <v>43689</v>
      </c>
      <c r="D7" s="440">
        <v>43748</v>
      </c>
      <c r="E7" s="461">
        <f t="shared" si="0"/>
        <v>44</v>
      </c>
      <c r="F7" s="440">
        <v>43759</v>
      </c>
      <c r="G7" s="440">
        <v>43769</v>
      </c>
      <c r="H7" s="461">
        <f t="shared" si="1"/>
        <v>9</v>
      </c>
      <c r="I7" s="444">
        <v>44054</v>
      </c>
      <c r="J7" s="440">
        <v>44112</v>
      </c>
      <c r="K7" s="461">
        <f t="shared" si="2"/>
        <v>43</v>
      </c>
      <c r="L7" s="440">
        <v>44125</v>
      </c>
      <c r="M7" s="440">
        <v>44140</v>
      </c>
      <c r="N7" s="461">
        <f t="shared" si="3"/>
        <v>12</v>
      </c>
      <c r="O7" s="442" t="s">
        <v>500</v>
      </c>
      <c r="P7" s="444">
        <v>44237</v>
      </c>
      <c r="Q7" s="440">
        <v>44294</v>
      </c>
      <c r="R7" s="461">
        <f t="shared" si="4"/>
        <v>42</v>
      </c>
      <c r="S7" s="440">
        <v>44307</v>
      </c>
      <c r="T7" s="440">
        <v>44321</v>
      </c>
      <c r="U7" s="461">
        <f t="shared" si="5"/>
        <v>11</v>
      </c>
      <c r="V7" s="442" t="s">
        <v>501</v>
      </c>
      <c r="W7" s="466">
        <f t="shared" si="6"/>
        <v>53.666666666666664</v>
      </c>
    </row>
    <row r="8" spans="1:23" s="443" customFormat="1" ht="50.25" customHeight="1">
      <c r="A8" s="439" t="s">
        <v>502</v>
      </c>
      <c r="B8" s="439" t="s">
        <v>503</v>
      </c>
      <c r="C8" s="444">
        <v>43599</v>
      </c>
      <c r="D8" s="440">
        <v>43650</v>
      </c>
      <c r="E8" s="461">
        <f t="shared" si="0"/>
        <v>38</v>
      </c>
      <c r="F8" s="440"/>
      <c r="G8" s="440"/>
      <c r="H8" s="461">
        <f t="shared" si="1"/>
        <v>0</v>
      </c>
      <c r="I8" s="444">
        <v>43955</v>
      </c>
      <c r="J8" s="440">
        <v>44014</v>
      </c>
      <c r="K8" s="461">
        <f t="shared" si="2"/>
        <v>44</v>
      </c>
      <c r="L8" s="440"/>
      <c r="M8" s="440"/>
      <c r="N8" s="461">
        <f t="shared" si="3"/>
        <v>0</v>
      </c>
      <c r="O8" s="442" t="s">
        <v>504</v>
      </c>
      <c r="P8" s="444">
        <v>44319</v>
      </c>
      <c r="Q8" s="440">
        <v>44378</v>
      </c>
      <c r="R8" s="461">
        <f t="shared" si="4"/>
        <v>44</v>
      </c>
      <c r="S8" s="440"/>
      <c r="T8" s="440"/>
      <c r="U8" s="461">
        <f>NETWORKDAYS(S8,T8,)</f>
        <v>0</v>
      </c>
      <c r="V8" s="442" t="s">
        <v>505</v>
      </c>
      <c r="W8" s="466">
        <f t="shared" si="6"/>
        <v>42</v>
      </c>
    </row>
    <row r="9" spans="1:23" s="443" customFormat="1" ht="49.5" customHeight="1">
      <c r="A9" s="439" t="s">
        <v>506</v>
      </c>
      <c r="B9" s="442" t="s">
        <v>507</v>
      </c>
      <c r="C9" s="444">
        <v>43635</v>
      </c>
      <c r="D9" s="440">
        <v>43692</v>
      </c>
      <c r="E9" s="461">
        <f t="shared" si="0"/>
        <v>42</v>
      </c>
      <c r="F9" s="440"/>
      <c r="G9" s="440"/>
      <c r="H9" s="461">
        <f t="shared" si="1"/>
        <v>0</v>
      </c>
      <c r="I9" s="444">
        <v>44007</v>
      </c>
      <c r="J9" s="440">
        <v>44063</v>
      </c>
      <c r="K9" s="461">
        <f t="shared" si="2"/>
        <v>41</v>
      </c>
      <c r="L9" s="440"/>
      <c r="M9" s="440"/>
      <c r="N9" s="461">
        <f t="shared" si="3"/>
        <v>0</v>
      </c>
      <c r="O9" s="439" t="s">
        <v>508</v>
      </c>
      <c r="P9" s="444">
        <v>44371</v>
      </c>
      <c r="Q9" s="440">
        <v>44427</v>
      </c>
      <c r="R9" s="461">
        <f t="shared" si="4"/>
        <v>41</v>
      </c>
      <c r="S9" s="440"/>
      <c r="T9" s="440"/>
      <c r="U9" s="461">
        <f t="shared" si="5"/>
        <v>0</v>
      </c>
      <c r="V9" s="439"/>
      <c r="W9" s="466">
        <f t="shared" si="6"/>
        <v>41.333333333333336</v>
      </c>
    </row>
    <row r="10" spans="1:23">
      <c r="W10" s="468">
        <f>SUM(W5:W9)</f>
        <v>225.66666666666666</v>
      </c>
    </row>
  </sheetData>
  <mergeCells count="18">
    <mergeCell ref="V3:V4"/>
    <mergeCell ref="A6:A7"/>
    <mergeCell ref="N3:N4"/>
    <mergeCell ref="O3:O4"/>
    <mergeCell ref="P3:Q3"/>
    <mergeCell ref="R3:R4"/>
    <mergeCell ref="S3:T3"/>
    <mergeCell ref="U3:U4"/>
    <mergeCell ref="A2:B2"/>
    <mergeCell ref="C2:O2"/>
    <mergeCell ref="A3:B4"/>
    <mergeCell ref="C3:D3"/>
    <mergeCell ref="E3:E4"/>
    <mergeCell ref="F3:G3"/>
    <mergeCell ref="H3:H4"/>
    <mergeCell ref="I3:J3"/>
    <mergeCell ref="K3:K4"/>
    <mergeCell ref="L3:M3"/>
  </mergeCells>
  <printOptions horizontalCentered="1"/>
  <pageMargins left="0" right="0" top="0" bottom="0" header="0" footer="0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16CCA-E534-4B4C-8D2F-2C77D2242905}">
  <sheetPr>
    <tabColor rgb="FF92D050"/>
  </sheetPr>
  <dimension ref="A3:K10"/>
  <sheetViews>
    <sheetView showGridLines="0" workbookViewId="0">
      <selection activeCell="K5" sqref="K5"/>
    </sheetView>
  </sheetViews>
  <sheetFormatPr defaultRowHeight="14.4"/>
  <cols>
    <col min="1" max="1" width="5.5546875" bestFit="1" customWidth="1"/>
    <col min="2" max="2" width="55.109375" customWidth="1"/>
    <col min="3" max="6" width="11.33203125" bestFit="1" customWidth="1"/>
    <col min="7" max="7" width="15.6640625" bestFit="1" customWidth="1"/>
    <col min="8" max="9" width="11.33203125" bestFit="1" customWidth="1"/>
    <col min="10" max="11" width="15.6640625" bestFit="1" customWidth="1"/>
  </cols>
  <sheetData>
    <row r="3" spans="1:11" ht="17.399999999999999">
      <c r="A3" s="735" t="s">
        <v>480</v>
      </c>
      <c r="B3" s="735"/>
      <c r="C3" s="736" t="s">
        <v>484</v>
      </c>
      <c r="D3" s="737"/>
      <c r="E3" s="736" t="s">
        <v>486</v>
      </c>
      <c r="F3" s="737"/>
      <c r="G3" s="717" t="s">
        <v>482</v>
      </c>
      <c r="H3" s="738" t="s">
        <v>483</v>
      </c>
      <c r="I3" s="739"/>
      <c r="J3" s="717" t="s">
        <v>482</v>
      </c>
      <c r="K3" s="717" t="s">
        <v>532</v>
      </c>
    </row>
    <row r="4" spans="1:11" ht="27.6">
      <c r="A4" s="735"/>
      <c r="B4" s="735"/>
      <c r="C4" s="437" t="s">
        <v>487</v>
      </c>
      <c r="D4" s="437" t="s">
        <v>488</v>
      </c>
      <c r="E4" s="437" t="s">
        <v>487</v>
      </c>
      <c r="F4" s="437" t="s">
        <v>488</v>
      </c>
      <c r="G4" s="718"/>
      <c r="H4" s="438" t="s">
        <v>489</v>
      </c>
      <c r="I4" s="438" t="s">
        <v>490</v>
      </c>
      <c r="J4" s="718"/>
      <c r="K4" s="718"/>
    </row>
    <row r="5" spans="1:11" ht="82.5" customHeight="1">
      <c r="A5" s="439"/>
      <c r="B5" s="439" t="s">
        <v>492</v>
      </c>
      <c r="C5" s="440" t="s">
        <v>533</v>
      </c>
      <c r="D5" s="440" t="s">
        <v>533</v>
      </c>
      <c r="E5" s="440">
        <v>44137</v>
      </c>
      <c r="F5" s="440">
        <v>44197</v>
      </c>
      <c r="G5" s="461">
        <f>NETWORKDAYS(E5,F5,)</f>
        <v>45</v>
      </c>
      <c r="H5" s="440">
        <v>44198</v>
      </c>
      <c r="I5" s="440">
        <v>44221</v>
      </c>
      <c r="J5" s="461">
        <f>NETWORKDAYS(H5,I5,)</f>
        <v>16</v>
      </c>
      <c r="K5" s="441">
        <f>J5+G5</f>
        <v>61</v>
      </c>
    </row>
    <row r="6" spans="1:11" ht="82.5" customHeight="1">
      <c r="A6" s="740"/>
      <c r="B6" s="439" t="s">
        <v>497</v>
      </c>
      <c r="C6" s="440" t="s">
        <v>533</v>
      </c>
      <c r="D6" s="440" t="s">
        <v>533</v>
      </c>
      <c r="E6" s="444">
        <v>44236</v>
      </c>
      <c r="F6" s="440">
        <v>44263</v>
      </c>
      <c r="G6" s="461">
        <f t="shared" ref="G6:G9" si="0">NETWORKDAYS(E6,F6,)</f>
        <v>20</v>
      </c>
      <c r="H6" s="444"/>
      <c r="I6" s="440"/>
      <c r="J6" s="461">
        <f t="shared" ref="J6:J9" si="1">NETWORKDAYS(H6,I6,)</f>
        <v>0</v>
      </c>
      <c r="K6" s="441">
        <f t="shared" ref="K6:K9" si="2">J6+G6</f>
        <v>20</v>
      </c>
    </row>
    <row r="7" spans="1:11" ht="82.5" customHeight="1">
      <c r="A7" s="740"/>
      <c r="B7" s="439" t="s">
        <v>499</v>
      </c>
      <c r="C7" s="440" t="s">
        <v>533</v>
      </c>
      <c r="D7" s="440" t="s">
        <v>533</v>
      </c>
      <c r="E7" s="444">
        <v>44204</v>
      </c>
      <c r="F7" s="440">
        <v>44248</v>
      </c>
      <c r="G7" s="461">
        <f t="shared" si="0"/>
        <v>31</v>
      </c>
      <c r="H7" s="444"/>
      <c r="I7" s="440"/>
      <c r="J7" s="461">
        <f t="shared" si="1"/>
        <v>0</v>
      </c>
      <c r="K7" s="441">
        <f t="shared" si="2"/>
        <v>31</v>
      </c>
    </row>
    <row r="8" spans="1:11" ht="82.5" customHeight="1">
      <c r="A8" s="439"/>
      <c r="B8" s="439" t="s">
        <v>503</v>
      </c>
      <c r="C8" s="440" t="s">
        <v>533</v>
      </c>
      <c r="D8" s="440" t="s">
        <v>533</v>
      </c>
      <c r="E8" s="444">
        <v>44163</v>
      </c>
      <c r="F8" s="440">
        <v>44223</v>
      </c>
      <c r="G8" s="461">
        <f t="shared" si="0"/>
        <v>43</v>
      </c>
      <c r="H8" s="444">
        <v>44224</v>
      </c>
      <c r="I8" s="440">
        <v>44248</v>
      </c>
      <c r="J8" s="461">
        <f t="shared" si="1"/>
        <v>17</v>
      </c>
      <c r="K8" s="441">
        <f t="shared" si="2"/>
        <v>60</v>
      </c>
    </row>
    <row r="9" spans="1:11" ht="82.5" customHeight="1">
      <c r="A9" s="439"/>
      <c r="B9" s="442" t="s">
        <v>507</v>
      </c>
      <c r="C9" s="440" t="s">
        <v>533</v>
      </c>
      <c r="D9" s="440" t="s">
        <v>533</v>
      </c>
      <c r="E9" s="444">
        <v>44170</v>
      </c>
      <c r="F9" s="440">
        <v>44186</v>
      </c>
      <c r="G9" s="461">
        <f t="shared" si="0"/>
        <v>11</v>
      </c>
      <c r="H9" s="440">
        <v>44265</v>
      </c>
      <c r="I9" s="440">
        <v>44287</v>
      </c>
      <c r="J9" s="461">
        <f t="shared" si="1"/>
        <v>17</v>
      </c>
      <c r="K9" s="441">
        <f t="shared" si="2"/>
        <v>28</v>
      </c>
    </row>
    <row r="10" spans="1:11">
      <c r="K10" s="467">
        <f>SUM(K5:K9)</f>
        <v>200</v>
      </c>
    </row>
  </sheetData>
  <mergeCells count="8">
    <mergeCell ref="K3:K4"/>
    <mergeCell ref="A6:A7"/>
    <mergeCell ref="A3:B4"/>
    <mergeCell ref="C3:D3"/>
    <mergeCell ref="E3:F3"/>
    <mergeCell ref="G3:G4"/>
    <mergeCell ref="H3:I3"/>
    <mergeCell ref="J3:J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E2CBD-FED8-45CD-90E6-393BA902C5BF}">
  <sheetPr>
    <tabColor theme="7" tint="0.39997558519241921"/>
  </sheetPr>
  <dimension ref="A1:R135"/>
  <sheetViews>
    <sheetView showGridLines="0" zoomScale="85" zoomScaleNormal="85" zoomScaleSheetLayoutView="85" zoomScalePageLayoutView="85" workbookViewId="0">
      <pane ySplit="1" topLeftCell="A128" activePane="bottomLeft" state="frozen"/>
      <selection activeCell="E13" sqref="E13"/>
      <selection pane="bottomLeft" activeCell="A12" sqref="A12"/>
    </sheetView>
  </sheetViews>
  <sheetFormatPr defaultColWidth="8.6640625" defaultRowHeight="13.2"/>
  <cols>
    <col min="1" max="1" width="9" style="67" bestFit="1" customWidth="1"/>
    <col min="2" max="2" width="61.6640625" style="67" customWidth="1"/>
    <col min="3" max="3" width="12.6640625" style="67" customWidth="1"/>
    <col min="4" max="4" width="13.5546875" style="97" customWidth="1"/>
    <col min="5" max="5" width="16.21875" style="97" bestFit="1" customWidth="1"/>
    <col min="6" max="6" width="11.6640625" style="97" bestFit="1" customWidth="1"/>
    <col min="7" max="7" width="15.6640625" style="97" bestFit="1" customWidth="1"/>
    <col min="8" max="8" width="16.21875" style="97" bestFit="1" customWidth="1"/>
    <col min="9" max="9" width="13.109375" style="97" bestFit="1" customWidth="1"/>
    <col min="10" max="10" width="13.109375" style="97" customWidth="1"/>
    <col min="11" max="11" width="19.44140625" style="97" customWidth="1"/>
    <col min="12" max="12" width="21.109375" style="97" customWidth="1"/>
    <col min="13" max="13" width="17" style="97" customWidth="1"/>
    <col min="14" max="14" width="6.5546875" style="97" customWidth="1"/>
    <col min="15" max="15" width="14.6640625" style="97" customWidth="1"/>
    <col min="16" max="16" width="13.33203125" style="97" customWidth="1"/>
    <col min="17" max="17" width="18.5546875" style="97" customWidth="1"/>
    <col min="18" max="19" width="8.6640625" style="97" customWidth="1"/>
    <col min="20" max="225" width="8.6640625" style="97"/>
    <col min="226" max="226" width="12.6640625" style="97" customWidth="1"/>
    <col min="227" max="227" width="60.33203125" style="97" customWidth="1"/>
    <col min="228" max="229" width="12.6640625" style="97" customWidth="1"/>
    <col min="230" max="230" width="12.33203125" style="97" bestFit="1" customWidth="1"/>
    <col min="231" max="231" width="15.6640625" style="97" customWidth="1"/>
    <col min="232" max="232" width="17.6640625" style="97" bestFit="1" customWidth="1"/>
    <col min="233" max="233" width="8.6640625" style="97"/>
    <col min="234" max="234" width="18" style="97" bestFit="1" customWidth="1"/>
    <col min="235" max="236" width="8.6640625" style="97"/>
    <col min="237" max="237" width="21.6640625" style="97" customWidth="1"/>
    <col min="238" max="238" width="9.44140625" style="97" bestFit="1" customWidth="1"/>
    <col min="239" max="481" width="8.6640625" style="97"/>
    <col min="482" max="482" width="12.6640625" style="97" customWidth="1"/>
    <col min="483" max="483" width="60.33203125" style="97" customWidth="1"/>
    <col min="484" max="485" width="12.6640625" style="97" customWidth="1"/>
    <col min="486" max="486" width="12.33203125" style="97" bestFit="1" customWidth="1"/>
    <col min="487" max="487" width="15.6640625" style="97" customWidth="1"/>
    <col min="488" max="488" width="17.6640625" style="97" bestFit="1" customWidth="1"/>
    <col min="489" max="489" width="8.6640625" style="97"/>
    <col min="490" max="490" width="18" style="97" bestFit="1" customWidth="1"/>
    <col min="491" max="492" width="8.6640625" style="97"/>
    <col min="493" max="493" width="21.6640625" style="97" customWidth="1"/>
    <col min="494" max="494" width="9.44140625" style="97" bestFit="1" customWidth="1"/>
    <col min="495" max="737" width="8.6640625" style="97"/>
    <col min="738" max="738" width="12.6640625" style="97" customWidth="1"/>
    <col min="739" max="739" width="60.33203125" style="97" customWidth="1"/>
    <col min="740" max="741" width="12.6640625" style="97" customWidth="1"/>
    <col min="742" max="742" width="12.33203125" style="97" bestFit="1" customWidth="1"/>
    <col min="743" max="743" width="15.6640625" style="97" customWidth="1"/>
    <col min="744" max="744" width="17.6640625" style="97" bestFit="1" customWidth="1"/>
    <col min="745" max="745" width="8.6640625" style="97"/>
    <col min="746" max="746" width="18" style="97" bestFit="1" customWidth="1"/>
    <col min="747" max="748" width="8.6640625" style="97"/>
    <col min="749" max="749" width="21.6640625" style="97" customWidth="1"/>
    <col min="750" max="750" width="9.44140625" style="97" bestFit="1" customWidth="1"/>
    <col min="751" max="993" width="8.6640625" style="97"/>
    <col min="994" max="994" width="12.6640625" style="97" customWidth="1"/>
    <col min="995" max="995" width="60.33203125" style="97" customWidth="1"/>
    <col min="996" max="997" width="12.6640625" style="97" customWidth="1"/>
    <col min="998" max="998" width="12.33203125" style="97" bestFit="1" customWidth="1"/>
    <col min="999" max="999" width="15.6640625" style="97" customWidth="1"/>
    <col min="1000" max="1000" width="17.6640625" style="97" bestFit="1" customWidth="1"/>
    <col min="1001" max="1001" width="8.6640625" style="97"/>
    <col min="1002" max="1002" width="18" style="97" bestFit="1" customWidth="1"/>
    <col min="1003" max="1004" width="8.6640625" style="97"/>
    <col min="1005" max="1005" width="21.6640625" style="97" customWidth="1"/>
    <col min="1006" max="1006" width="9.44140625" style="97" bestFit="1" customWidth="1"/>
    <col min="1007" max="1249" width="8.6640625" style="97"/>
    <col min="1250" max="1250" width="12.6640625" style="97" customWidth="1"/>
    <col min="1251" max="1251" width="60.33203125" style="97" customWidth="1"/>
    <col min="1252" max="1253" width="12.6640625" style="97" customWidth="1"/>
    <col min="1254" max="1254" width="12.33203125" style="97" bestFit="1" customWidth="1"/>
    <col min="1255" max="1255" width="15.6640625" style="97" customWidth="1"/>
    <col min="1256" max="1256" width="17.6640625" style="97" bestFit="1" customWidth="1"/>
    <col min="1257" max="1257" width="8.6640625" style="97"/>
    <col min="1258" max="1258" width="18" style="97" bestFit="1" customWidth="1"/>
    <col min="1259" max="1260" width="8.6640625" style="97"/>
    <col min="1261" max="1261" width="21.6640625" style="97" customWidth="1"/>
    <col min="1262" max="1262" width="9.44140625" style="97" bestFit="1" customWidth="1"/>
    <col min="1263" max="1505" width="8.6640625" style="97"/>
    <col min="1506" max="1506" width="12.6640625" style="97" customWidth="1"/>
    <col min="1507" max="1507" width="60.33203125" style="97" customWidth="1"/>
    <col min="1508" max="1509" width="12.6640625" style="97" customWidth="1"/>
    <col min="1510" max="1510" width="12.33203125" style="97" bestFit="1" customWidth="1"/>
    <col min="1511" max="1511" width="15.6640625" style="97" customWidth="1"/>
    <col min="1512" max="1512" width="17.6640625" style="97" bestFit="1" customWidth="1"/>
    <col min="1513" max="1513" width="8.6640625" style="97"/>
    <col min="1514" max="1514" width="18" style="97" bestFit="1" customWidth="1"/>
    <col min="1515" max="1516" width="8.6640625" style="97"/>
    <col min="1517" max="1517" width="21.6640625" style="97" customWidth="1"/>
    <col min="1518" max="1518" width="9.44140625" style="97" bestFit="1" customWidth="1"/>
    <col min="1519" max="1761" width="8.6640625" style="97"/>
    <col min="1762" max="1762" width="12.6640625" style="97" customWidth="1"/>
    <col min="1763" max="1763" width="60.33203125" style="97" customWidth="1"/>
    <col min="1764" max="1765" width="12.6640625" style="97" customWidth="1"/>
    <col min="1766" max="1766" width="12.33203125" style="97" bestFit="1" customWidth="1"/>
    <col min="1767" max="1767" width="15.6640625" style="97" customWidth="1"/>
    <col min="1768" max="1768" width="17.6640625" style="97" bestFit="1" customWidth="1"/>
    <col min="1769" max="1769" width="8.6640625" style="97"/>
    <col min="1770" max="1770" width="18" style="97" bestFit="1" customWidth="1"/>
    <col min="1771" max="1772" width="8.6640625" style="97"/>
    <col min="1773" max="1773" width="21.6640625" style="97" customWidth="1"/>
    <col min="1774" max="1774" width="9.44140625" style="97" bestFit="1" customWidth="1"/>
    <col min="1775" max="2017" width="8.6640625" style="97"/>
    <col min="2018" max="2018" width="12.6640625" style="97" customWidth="1"/>
    <col min="2019" max="2019" width="60.33203125" style="97" customWidth="1"/>
    <col min="2020" max="2021" width="12.6640625" style="97" customWidth="1"/>
    <col min="2022" max="2022" width="12.33203125" style="97" bestFit="1" customWidth="1"/>
    <col min="2023" max="2023" width="15.6640625" style="97" customWidth="1"/>
    <col min="2024" max="2024" width="17.6640625" style="97" bestFit="1" customWidth="1"/>
    <col min="2025" max="2025" width="8.6640625" style="97"/>
    <col min="2026" max="2026" width="18" style="97" bestFit="1" customWidth="1"/>
    <col min="2027" max="2028" width="8.6640625" style="97"/>
    <col min="2029" max="2029" width="21.6640625" style="97" customWidth="1"/>
    <col min="2030" max="2030" width="9.44140625" style="97" bestFit="1" customWidth="1"/>
    <col min="2031" max="2273" width="8.6640625" style="97"/>
    <col min="2274" max="2274" width="12.6640625" style="97" customWidth="1"/>
    <col min="2275" max="2275" width="60.33203125" style="97" customWidth="1"/>
    <col min="2276" max="2277" width="12.6640625" style="97" customWidth="1"/>
    <col min="2278" max="2278" width="12.33203125" style="97" bestFit="1" customWidth="1"/>
    <col min="2279" max="2279" width="15.6640625" style="97" customWidth="1"/>
    <col min="2280" max="2280" width="17.6640625" style="97" bestFit="1" customWidth="1"/>
    <col min="2281" max="2281" width="8.6640625" style="97"/>
    <col min="2282" max="2282" width="18" style="97" bestFit="1" customWidth="1"/>
    <col min="2283" max="2284" width="8.6640625" style="97"/>
    <col min="2285" max="2285" width="21.6640625" style="97" customWidth="1"/>
    <col min="2286" max="2286" width="9.44140625" style="97" bestFit="1" customWidth="1"/>
    <col min="2287" max="2529" width="8.6640625" style="97"/>
    <col min="2530" max="2530" width="12.6640625" style="97" customWidth="1"/>
    <col min="2531" max="2531" width="60.33203125" style="97" customWidth="1"/>
    <col min="2532" max="2533" width="12.6640625" style="97" customWidth="1"/>
    <col min="2534" max="2534" width="12.33203125" style="97" bestFit="1" customWidth="1"/>
    <col min="2535" max="2535" width="15.6640625" style="97" customWidth="1"/>
    <col min="2536" max="2536" width="17.6640625" style="97" bestFit="1" customWidth="1"/>
    <col min="2537" max="2537" width="8.6640625" style="97"/>
    <col min="2538" max="2538" width="18" style="97" bestFit="1" customWidth="1"/>
    <col min="2539" max="2540" width="8.6640625" style="97"/>
    <col min="2541" max="2541" width="21.6640625" style="97" customWidth="1"/>
    <col min="2542" max="2542" width="9.44140625" style="97" bestFit="1" customWidth="1"/>
    <col min="2543" max="2785" width="8.6640625" style="97"/>
    <col min="2786" max="2786" width="12.6640625" style="97" customWidth="1"/>
    <col min="2787" max="2787" width="60.33203125" style="97" customWidth="1"/>
    <col min="2788" max="2789" width="12.6640625" style="97" customWidth="1"/>
    <col min="2790" max="2790" width="12.33203125" style="97" bestFit="1" customWidth="1"/>
    <col min="2791" max="2791" width="15.6640625" style="97" customWidth="1"/>
    <col min="2792" max="2792" width="17.6640625" style="97" bestFit="1" customWidth="1"/>
    <col min="2793" max="2793" width="8.6640625" style="97"/>
    <col min="2794" max="2794" width="18" style="97" bestFit="1" customWidth="1"/>
    <col min="2795" max="2796" width="8.6640625" style="97"/>
    <col min="2797" max="2797" width="21.6640625" style="97" customWidth="1"/>
    <col min="2798" max="2798" width="9.44140625" style="97" bestFit="1" customWidth="1"/>
    <col min="2799" max="3041" width="8.6640625" style="97"/>
    <col min="3042" max="3042" width="12.6640625" style="97" customWidth="1"/>
    <col min="3043" max="3043" width="60.33203125" style="97" customWidth="1"/>
    <col min="3044" max="3045" width="12.6640625" style="97" customWidth="1"/>
    <col min="3046" max="3046" width="12.33203125" style="97" bestFit="1" customWidth="1"/>
    <col min="3047" max="3047" width="15.6640625" style="97" customWidth="1"/>
    <col min="3048" max="3048" width="17.6640625" style="97" bestFit="1" customWidth="1"/>
    <col min="3049" max="3049" width="8.6640625" style="97"/>
    <col min="3050" max="3050" width="18" style="97" bestFit="1" customWidth="1"/>
    <col min="3051" max="3052" width="8.6640625" style="97"/>
    <col min="3053" max="3053" width="21.6640625" style="97" customWidth="1"/>
    <col min="3054" max="3054" width="9.44140625" style="97" bestFit="1" customWidth="1"/>
    <col min="3055" max="3297" width="8.6640625" style="97"/>
    <col min="3298" max="3298" width="12.6640625" style="97" customWidth="1"/>
    <col min="3299" max="3299" width="60.33203125" style="97" customWidth="1"/>
    <col min="3300" max="3301" width="12.6640625" style="97" customWidth="1"/>
    <col min="3302" max="3302" width="12.33203125" style="97" bestFit="1" customWidth="1"/>
    <col min="3303" max="3303" width="15.6640625" style="97" customWidth="1"/>
    <col min="3304" max="3304" width="17.6640625" style="97" bestFit="1" customWidth="1"/>
    <col min="3305" max="3305" width="8.6640625" style="97"/>
    <col min="3306" max="3306" width="18" style="97" bestFit="1" customWidth="1"/>
    <col min="3307" max="3308" width="8.6640625" style="97"/>
    <col min="3309" max="3309" width="21.6640625" style="97" customWidth="1"/>
    <col min="3310" max="3310" width="9.44140625" style="97" bestFit="1" customWidth="1"/>
    <col min="3311" max="3553" width="8.6640625" style="97"/>
    <col min="3554" max="3554" width="12.6640625" style="97" customWidth="1"/>
    <col min="3555" max="3555" width="60.33203125" style="97" customWidth="1"/>
    <col min="3556" max="3557" width="12.6640625" style="97" customWidth="1"/>
    <col min="3558" max="3558" width="12.33203125" style="97" bestFit="1" customWidth="1"/>
    <col min="3559" max="3559" width="15.6640625" style="97" customWidth="1"/>
    <col min="3560" max="3560" width="17.6640625" style="97" bestFit="1" customWidth="1"/>
    <col min="3561" max="3561" width="8.6640625" style="97"/>
    <col min="3562" max="3562" width="18" style="97" bestFit="1" customWidth="1"/>
    <col min="3563" max="3564" width="8.6640625" style="97"/>
    <col min="3565" max="3565" width="21.6640625" style="97" customWidth="1"/>
    <col min="3566" max="3566" width="9.44140625" style="97" bestFit="1" customWidth="1"/>
    <col min="3567" max="3809" width="8.6640625" style="97"/>
    <col min="3810" max="3810" width="12.6640625" style="97" customWidth="1"/>
    <col min="3811" max="3811" width="60.33203125" style="97" customWidth="1"/>
    <col min="3812" max="3813" width="12.6640625" style="97" customWidth="1"/>
    <col min="3814" max="3814" width="12.33203125" style="97" bestFit="1" customWidth="1"/>
    <col min="3815" max="3815" width="15.6640625" style="97" customWidth="1"/>
    <col min="3816" max="3816" width="17.6640625" style="97" bestFit="1" customWidth="1"/>
    <col min="3817" max="3817" width="8.6640625" style="97"/>
    <col min="3818" max="3818" width="18" style="97" bestFit="1" customWidth="1"/>
    <col min="3819" max="3820" width="8.6640625" style="97"/>
    <col min="3821" max="3821" width="21.6640625" style="97" customWidth="1"/>
    <col min="3822" max="3822" width="9.44140625" style="97" bestFit="1" customWidth="1"/>
    <col min="3823" max="4065" width="8.6640625" style="97"/>
    <col min="4066" max="4066" width="12.6640625" style="97" customWidth="1"/>
    <col min="4067" max="4067" width="60.33203125" style="97" customWidth="1"/>
    <col min="4068" max="4069" width="12.6640625" style="97" customWidth="1"/>
    <col min="4070" max="4070" width="12.33203125" style="97" bestFit="1" customWidth="1"/>
    <col min="4071" max="4071" width="15.6640625" style="97" customWidth="1"/>
    <col min="4072" max="4072" width="17.6640625" style="97" bestFit="1" customWidth="1"/>
    <col min="4073" max="4073" width="8.6640625" style="97"/>
    <col min="4074" max="4074" width="18" style="97" bestFit="1" customWidth="1"/>
    <col min="4075" max="4076" width="8.6640625" style="97"/>
    <col min="4077" max="4077" width="21.6640625" style="97" customWidth="1"/>
    <col min="4078" max="4078" width="9.44140625" style="97" bestFit="1" customWidth="1"/>
    <col min="4079" max="4321" width="8.6640625" style="97"/>
    <col min="4322" max="4322" width="12.6640625" style="97" customWidth="1"/>
    <col min="4323" max="4323" width="60.33203125" style="97" customWidth="1"/>
    <col min="4324" max="4325" width="12.6640625" style="97" customWidth="1"/>
    <col min="4326" max="4326" width="12.33203125" style="97" bestFit="1" customWidth="1"/>
    <col min="4327" max="4327" width="15.6640625" style="97" customWidth="1"/>
    <col min="4328" max="4328" width="17.6640625" style="97" bestFit="1" customWidth="1"/>
    <col min="4329" max="4329" width="8.6640625" style="97"/>
    <col min="4330" max="4330" width="18" style="97" bestFit="1" customWidth="1"/>
    <col min="4331" max="4332" width="8.6640625" style="97"/>
    <col min="4333" max="4333" width="21.6640625" style="97" customWidth="1"/>
    <col min="4334" max="4334" width="9.44140625" style="97" bestFit="1" customWidth="1"/>
    <col min="4335" max="4577" width="8.6640625" style="97"/>
    <col min="4578" max="4578" width="12.6640625" style="97" customWidth="1"/>
    <col min="4579" max="4579" width="60.33203125" style="97" customWidth="1"/>
    <col min="4580" max="4581" width="12.6640625" style="97" customWidth="1"/>
    <col min="4582" max="4582" width="12.33203125" style="97" bestFit="1" customWidth="1"/>
    <col min="4583" max="4583" width="15.6640625" style="97" customWidth="1"/>
    <col min="4584" max="4584" width="17.6640625" style="97" bestFit="1" customWidth="1"/>
    <col min="4585" max="4585" width="8.6640625" style="97"/>
    <col min="4586" max="4586" width="18" style="97" bestFit="1" customWidth="1"/>
    <col min="4587" max="4588" width="8.6640625" style="97"/>
    <col min="4589" max="4589" width="21.6640625" style="97" customWidth="1"/>
    <col min="4590" max="4590" width="9.44140625" style="97" bestFit="1" customWidth="1"/>
    <col min="4591" max="4833" width="8.6640625" style="97"/>
    <col min="4834" max="4834" width="12.6640625" style="97" customWidth="1"/>
    <col min="4835" max="4835" width="60.33203125" style="97" customWidth="1"/>
    <col min="4836" max="4837" width="12.6640625" style="97" customWidth="1"/>
    <col min="4838" max="4838" width="12.33203125" style="97" bestFit="1" customWidth="1"/>
    <col min="4839" max="4839" width="15.6640625" style="97" customWidth="1"/>
    <col min="4840" max="4840" width="17.6640625" style="97" bestFit="1" customWidth="1"/>
    <col min="4841" max="4841" width="8.6640625" style="97"/>
    <col min="4842" max="4842" width="18" style="97" bestFit="1" customWidth="1"/>
    <col min="4843" max="4844" width="8.6640625" style="97"/>
    <col min="4845" max="4845" width="21.6640625" style="97" customWidth="1"/>
    <col min="4846" max="4846" width="9.44140625" style="97" bestFit="1" customWidth="1"/>
    <col min="4847" max="5089" width="8.6640625" style="97"/>
    <col min="5090" max="5090" width="12.6640625" style="97" customWidth="1"/>
    <col min="5091" max="5091" width="60.33203125" style="97" customWidth="1"/>
    <col min="5092" max="5093" width="12.6640625" style="97" customWidth="1"/>
    <col min="5094" max="5094" width="12.33203125" style="97" bestFit="1" customWidth="1"/>
    <col min="5095" max="5095" width="15.6640625" style="97" customWidth="1"/>
    <col min="5096" max="5096" width="17.6640625" style="97" bestFit="1" customWidth="1"/>
    <col min="5097" max="5097" width="8.6640625" style="97"/>
    <col min="5098" max="5098" width="18" style="97" bestFit="1" customWidth="1"/>
    <col min="5099" max="5100" width="8.6640625" style="97"/>
    <col min="5101" max="5101" width="21.6640625" style="97" customWidth="1"/>
    <col min="5102" max="5102" width="9.44140625" style="97" bestFit="1" customWidth="1"/>
    <col min="5103" max="5345" width="8.6640625" style="97"/>
    <col min="5346" max="5346" width="12.6640625" style="97" customWidth="1"/>
    <col min="5347" max="5347" width="60.33203125" style="97" customWidth="1"/>
    <col min="5348" max="5349" width="12.6640625" style="97" customWidth="1"/>
    <col min="5350" max="5350" width="12.33203125" style="97" bestFit="1" customWidth="1"/>
    <col min="5351" max="5351" width="15.6640625" style="97" customWidth="1"/>
    <col min="5352" max="5352" width="17.6640625" style="97" bestFit="1" customWidth="1"/>
    <col min="5353" max="5353" width="8.6640625" style="97"/>
    <col min="5354" max="5354" width="18" style="97" bestFit="1" customWidth="1"/>
    <col min="5355" max="5356" width="8.6640625" style="97"/>
    <col min="5357" max="5357" width="21.6640625" style="97" customWidth="1"/>
    <col min="5358" max="5358" width="9.44140625" style="97" bestFit="1" customWidth="1"/>
    <col min="5359" max="5601" width="8.6640625" style="97"/>
    <col min="5602" max="5602" width="12.6640625" style="97" customWidth="1"/>
    <col min="5603" max="5603" width="60.33203125" style="97" customWidth="1"/>
    <col min="5604" max="5605" width="12.6640625" style="97" customWidth="1"/>
    <col min="5606" max="5606" width="12.33203125" style="97" bestFit="1" customWidth="1"/>
    <col min="5607" max="5607" width="15.6640625" style="97" customWidth="1"/>
    <col min="5608" max="5608" width="17.6640625" style="97" bestFit="1" customWidth="1"/>
    <col min="5609" max="5609" width="8.6640625" style="97"/>
    <col min="5610" max="5610" width="18" style="97" bestFit="1" customWidth="1"/>
    <col min="5611" max="5612" width="8.6640625" style="97"/>
    <col min="5613" max="5613" width="21.6640625" style="97" customWidth="1"/>
    <col min="5614" max="5614" width="9.44140625" style="97" bestFit="1" customWidth="1"/>
    <col min="5615" max="5857" width="8.6640625" style="97"/>
    <col min="5858" max="5858" width="12.6640625" style="97" customWidth="1"/>
    <col min="5859" max="5859" width="60.33203125" style="97" customWidth="1"/>
    <col min="5860" max="5861" width="12.6640625" style="97" customWidth="1"/>
    <col min="5862" max="5862" width="12.33203125" style="97" bestFit="1" customWidth="1"/>
    <col min="5863" max="5863" width="15.6640625" style="97" customWidth="1"/>
    <col min="5864" max="5864" width="17.6640625" style="97" bestFit="1" customWidth="1"/>
    <col min="5865" max="5865" width="8.6640625" style="97"/>
    <col min="5866" max="5866" width="18" style="97" bestFit="1" customWidth="1"/>
    <col min="5867" max="5868" width="8.6640625" style="97"/>
    <col min="5869" max="5869" width="21.6640625" style="97" customWidth="1"/>
    <col min="5870" max="5870" width="9.44140625" style="97" bestFit="1" customWidth="1"/>
    <col min="5871" max="6113" width="8.6640625" style="97"/>
    <col min="6114" max="6114" width="12.6640625" style="97" customWidth="1"/>
    <col min="6115" max="6115" width="60.33203125" style="97" customWidth="1"/>
    <col min="6116" max="6117" width="12.6640625" style="97" customWidth="1"/>
    <col min="6118" max="6118" width="12.33203125" style="97" bestFit="1" customWidth="1"/>
    <col min="6119" max="6119" width="15.6640625" style="97" customWidth="1"/>
    <col min="6120" max="6120" width="17.6640625" style="97" bestFit="1" customWidth="1"/>
    <col min="6121" max="6121" width="8.6640625" style="97"/>
    <col min="6122" max="6122" width="18" style="97" bestFit="1" customWidth="1"/>
    <col min="6123" max="6124" width="8.6640625" style="97"/>
    <col min="6125" max="6125" width="21.6640625" style="97" customWidth="1"/>
    <col min="6126" max="6126" width="9.44140625" style="97" bestFit="1" customWidth="1"/>
    <col min="6127" max="6369" width="8.6640625" style="97"/>
    <col min="6370" max="6370" width="12.6640625" style="97" customWidth="1"/>
    <col min="6371" max="6371" width="60.33203125" style="97" customWidth="1"/>
    <col min="6372" max="6373" width="12.6640625" style="97" customWidth="1"/>
    <col min="6374" max="6374" width="12.33203125" style="97" bestFit="1" customWidth="1"/>
    <col min="6375" max="6375" width="15.6640625" style="97" customWidth="1"/>
    <col min="6376" max="6376" width="17.6640625" style="97" bestFit="1" customWidth="1"/>
    <col min="6377" max="6377" width="8.6640625" style="97"/>
    <col min="6378" max="6378" width="18" style="97" bestFit="1" customWidth="1"/>
    <col min="6379" max="6380" width="8.6640625" style="97"/>
    <col min="6381" max="6381" width="21.6640625" style="97" customWidth="1"/>
    <col min="6382" max="6382" width="9.44140625" style="97" bestFit="1" customWidth="1"/>
    <col min="6383" max="6625" width="8.6640625" style="97"/>
    <col min="6626" max="6626" width="12.6640625" style="97" customWidth="1"/>
    <col min="6627" max="6627" width="60.33203125" style="97" customWidth="1"/>
    <col min="6628" max="6629" width="12.6640625" style="97" customWidth="1"/>
    <col min="6630" max="6630" width="12.33203125" style="97" bestFit="1" customWidth="1"/>
    <col min="6631" max="6631" width="15.6640625" style="97" customWidth="1"/>
    <col min="6632" max="6632" width="17.6640625" style="97" bestFit="1" customWidth="1"/>
    <col min="6633" max="6633" width="8.6640625" style="97"/>
    <col min="6634" max="6634" width="18" style="97" bestFit="1" customWidth="1"/>
    <col min="6635" max="6636" width="8.6640625" style="97"/>
    <col min="6637" max="6637" width="21.6640625" style="97" customWidth="1"/>
    <col min="6638" max="6638" width="9.44140625" style="97" bestFit="1" customWidth="1"/>
    <col min="6639" max="6881" width="8.6640625" style="97"/>
    <col min="6882" max="6882" width="12.6640625" style="97" customWidth="1"/>
    <col min="6883" max="6883" width="60.33203125" style="97" customWidth="1"/>
    <col min="6884" max="6885" width="12.6640625" style="97" customWidth="1"/>
    <col min="6886" max="6886" width="12.33203125" style="97" bestFit="1" customWidth="1"/>
    <col min="6887" max="6887" width="15.6640625" style="97" customWidth="1"/>
    <col min="6888" max="6888" width="17.6640625" style="97" bestFit="1" customWidth="1"/>
    <col min="6889" max="6889" width="8.6640625" style="97"/>
    <col min="6890" max="6890" width="18" style="97" bestFit="1" customWidth="1"/>
    <col min="6891" max="6892" width="8.6640625" style="97"/>
    <col min="6893" max="6893" width="21.6640625" style="97" customWidth="1"/>
    <col min="6894" max="6894" width="9.44140625" style="97" bestFit="1" customWidth="1"/>
    <col min="6895" max="7137" width="8.6640625" style="97"/>
    <col min="7138" max="7138" width="12.6640625" style="97" customWidth="1"/>
    <col min="7139" max="7139" width="60.33203125" style="97" customWidth="1"/>
    <col min="7140" max="7141" width="12.6640625" style="97" customWidth="1"/>
    <col min="7142" max="7142" width="12.33203125" style="97" bestFit="1" customWidth="1"/>
    <col min="7143" max="7143" width="15.6640625" style="97" customWidth="1"/>
    <col min="7144" max="7144" width="17.6640625" style="97" bestFit="1" customWidth="1"/>
    <col min="7145" max="7145" width="8.6640625" style="97"/>
    <col min="7146" max="7146" width="18" style="97" bestFit="1" customWidth="1"/>
    <col min="7147" max="7148" width="8.6640625" style="97"/>
    <col min="7149" max="7149" width="21.6640625" style="97" customWidth="1"/>
    <col min="7150" max="7150" width="9.44140625" style="97" bestFit="1" customWidth="1"/>
    <col min="7151" max="7393" width="8.6640625" style="97"/>
    <col min="7394" max="7394" width="12.6640625" style="97" customWidth="1"/>
    <col min="7395" max="7395" width="60.33203125" style="97" customWidth="1"/>
    <col min="7396" max="7397" width="12.6640625" style="97" customWidth="1"/>
    <col min="7398" max="7398" width="12.33203125" style="97" bestFit="1" customWidth="1"/>
    <col min="7399" max="7399" width="15.6640625" style="97" customWidth="1"/>
    <col min="7400" max="7400" width="17.6640625" style="97" bestFit="1" customWidth="1"/>
    <col min="7401" max="7401" width="8.6640625" style="97"/>
    <col min="7402" max="7402" width="18" style="97" bestFit="1" customWidth="1"/>
    <col min="7403" max="7404" width="8.6640625" style="97"/>
    <col min="7405" max="7405" width="21.6640625" style="97" customWidth="1"/>
    <col min="7406" max="7406" width="9.44140625" style="97" bestFit="1" customWidth="1"/>
    <col min="7407" max="7649" width="8.6640625" style="97"/>
    <col min="7650" max="7650" width="12.6640625" style="97" customWidth="1"/>
    <col min="7651" max="7651" width="60.33203125" style="97" customWidth="1"/>
    <col min="7652" max="7653" width="12.6640625" style="97" customWidth="1"/>
    <col min="7654" max="7654" width="12.33203125" style="97" bestFit="1" customWidth="1"/>
    <col min="7655" max="7655" width="15.6640625" style="97" customWidth="1"/>
    <col min="7656" max="7656" width="17.6640625" style="97" bestFit="1" customWidth="1"/>
    <col min="7657" max="7657" width="8.6640625" style="97"/>
    <col min="7658" max="7658" width="18" style="97" bestFit="1" customWidth="1"/>
    <col min="7659" max="7660" width="8.6640625" style="97"/>
    <col min="7661" max="7661" width="21.6640625" style="97" customWidth="1"/>
    <col min="7662" max="7662" width="9.44140625" style="97" bestFit="1" customWidth="1"/>
    <col min="7663" max="7905" width="8.6640625" style="97"/>
    <col min="7906" max="7906" width="12.6640625" style="97" customWidth="1"/>
    <col min="7907" max="7907" width="60.33203125" style="97" customWidth="1"/>
    <col min="7908" max="7909" width="12.6640625" style="97" customWidth="1"/>
    <col min="7910" max="7910" width="12.33203125" style="97" bestFit="1" customWidth="1"/>
    <col min="7911" max="7911" width="15.6640625" style="97" customWidth="1"/>
    <col min="7912" max="7912" width="17.6640625" style="97" bestFit="1" customWidth="1"/>
    <col min="7913" max="7913" width="8.6640625" style="97"/>
    <col min="7914" max="7914" width="18" style="97" bestFit="1" customWidth="1"/>
    <col min="7915" max="7916" width="8.6640625" style="97"/>
    <col min="7917" max="7917" width="21.6640625" style="97" customWidth="1"/>
    <col min="7918" max="7918" width="9.44140625" style="97" bestFit="1" customWidth="1"/>
    <col min="7919" max="8161" width="8.6640625" style="97"/>
    <col min="8162" max="8162" width="12.6640625" style="97" customWidth="1"/>
    <col min="8163" max="8163" width="60.33203125" style="97" customWidth="1"/>
    <col min="8164" max="8165" width="12.6640625" style="97" customWidth="1"/>
    <col min="8166" max="8166" width="12.33203125" style="97" bestFit="1" customWidth="1"/>
    <col min="8167" max="8167" width="15.6640625" style="97" customWidth="1"/>
    <col min="8168" max="8168" width="17.6640625" style="97" bestFit="1" customWidth="1"/>
    <col min="8169" max="8169" width="8.6640625" style="97"/>
    <col min="8170" max="8170" width="18" style="97" bestFit="1" customWidth="1"/>
    <col min="8171" max="8172" width="8.6640625" style="97"/>
    <col min="8173" max="8173" width="21.6640625" style="97" customWidth="1"/>
    <col min="8174" max="8174" width="9.44140625" style="97" bestFit="1" customWidth="1"/>
    <col min="8175" max="8417" width="8.6640625" style="97"/>
    <col min="8418" max="8418" width="12.6640625" style="97" customWidth="1"/>
    <col min="8419" max="8419" width="60.33203125" style="97" customWidth="1"/>
    <col min="8420" max="8421" width="12.6640625" style="97" customWidth="1"/>
    <col min="8422" max="8422" width="12.33203125" style="97" bestFit="1" customWidth="1"/>
    <col min="8423" max="8423" width="15.6640625" style="97" customWidth="1"/>
    <col min="8424" max="8424" width="17.6640625" style="97" bestFit="1" customWidth="1"/>
    <col min="8425" max="8425" width="8.6640625" style="97"/>
    <col min="8426" max="8426" width="18" style="97" bestFit="1" customWidth="1"/>
    <col min="8427" max="8428" width="8.6640625" style="97"/>
    <col min="8429" max="8429" width="21.6640625" style="97" customWidth="1"/>
    <col min="8430" max="8430" width="9.44140625" style="97" bestFit="1" customWidth="1"/>
    <col min="8431" max="8673" width="8.6640625" style="97"/>
    <col min="8674" max="8674" width="12.6640625" style="97" customWidth="1"/>
    <col min="8675" max="8675" width="60.33203125" style="97" customWidth="1"/>
    <col min="8676" max="8677" width="12.6640625" style="97" customWidth="1"/>
    <col min="8678" max="8678" width="12.33203125" style="97" bestFit="1" customWidth="1"/>
    <col min="8679" max="8679" width="15.6640625" style="97" customWidth="1"/>
    <col min="8680" max="8680" width="17.6640625" style="97" bestFit="1" customWidth="1"/>
    <col min="8681" max="8681" width="8.6640625" style="97"/>
    <col min="8682" max="8682" width="18" style="97" bestFit="1" customWidth="1"/>
    <col min="8683" max="8684" width="8.6640625" style="97"/>
    <col min="8685" max="8685" width="21.6640625" style="97" customWidth="1"/>
    <col min="8686" max="8686" width="9.44140625" style="97" bestFit="1" customWidth="1"/>
    <col min="8687" max="8929" width="8.6640625" style="97"/>
    <col min="8930" max="8930" width="12.6640625" style="97" customWidth="1"/>
    <col min="8931" max="8931" width="60.33203125" style="97" customWidth="1"/>
    <col min="8932" max="8933" width="12.6640625" style="97" customWidth="1"/>
    <col min="8934" max="8934" width="12.33203125" style="97" bestFit="1" customWidth="1"/>
    <col min="8935" max="8935" width="15.6640625" style="97" customWidth="1"/>
    <col min="8936" max="8936" width="17.6640625" style="97" bestFit="1" customWidth="1"/>
    <col min="8937" max="8937" width="8.6640625" style="97"/>
    <col min="8938" max="8938" width="18" style="97" bestFit="1" customWidth="1"/>
    <col min="8939" max="8940" width="8.6640625" style="97"/>
    <col min="8941" max="8941" width="21.6640625" style="97" customWidth="1"/>
    <col min="8942" max="8942" width="9.44140625" style="97" bestFit="1" customWidth="1"/>
    <col min="8943" max="9185" width="8.6640625" style="97"/>
    <col min="9186" max="9186" width="12.6640625" style="97" customWidth="1"/>
    <col min="9187" max="9187" width="60.33203125" style="97" customWidth="1"/>
    <col min="9188" max="9189" width="12.6640625" style="97" customWidth="1"/>
    <col min="9190" max="9190" width="12.33203125" style="97" bestFit="1" customWidth="1"/>
    <col min="9191" max="9191" width="15.6640625" style="97" customWidth="1"/>
    <col min="9192" max="9192" width="17.6640625" style="97" bestFit="1" customWidth="1"/>
    <col min="9193" max="9193" width="8.6640625" style="97"/>
    <col min="9194" max="9194" width="18" style="97" bestFit="1" customWidth="1"/>
    <col min="9195" max="9196" width="8.6640625" style="97"/>
    <col min="9197" max="9197" width="21.6640625" style="97" customWidth="1"/>
    <col min="9198" max="9198" width="9.44140625" style="97" bestFit="1" customWidth="1"/>
    <col min="9199" max="9441" width="8.6640625" style="97"/>
    <col min="9442" max="9442" width="12.6640625" style="97" customWidth="1"/>
    <col min="9443" max="9443" width="60.33203125" style="97" customWidth="1"/>
    <col min="9444" max="9445" width="12.6640625" style="97" customWidth="1"/>
    <col min="9446" max="9446" width="12.33203125" style="97" bestFit="1" customWidth="1"/>
    <col min="9447" max="9447" width="15.6640625" style="97" customWidth="1"/>
    <col min="9448" max="9448" width="17.6640625" style="97" bestFit="1" customWidth="1"/>
    <col min="9449" max="9449" width="8.6640625" style="97"/>
    <col min="9450" max="9450" width="18" style="97" bestFit="1" customWidth="1"/>
    <col min="9451" max="9452" width="8.6640625" style="97"/>
    <col min="9453" max="9453" width="21.6640625" style="97" customWidth="1"/>
    <col min="9454" max="9454" width="9.44140625" style="97" bestFit="1" customWidth="1"/>
    <col min="9455" max="9697" width="8.6640625" style="97"/>
    <col min="9698" max="9698" width="12.6640625" style="97" customWidth="1"/>
    <col min="9699" max="9699" width="60.33203125" style="97" customWidth="1"/>
    <col min="9700" max="9701" width="12.6640625" style="97" customWidth="1"/>
    <col min="9702" max="9702" width="12.33203125" style="97" bestFit="1" customWidth="1"/>
    <col min="9703" max="9703" width="15.6640625" style="97" customWidth="1"/>
    <col min="9704" max="9704" width="17.6640625" style="97" bestFit="1" customWidth="1"/>
    <col min="9705" max="9705" width="8.6640625" style="97"/>
    <col min="9706" max="9706" width="18" style="97" bestFit="1" customWidth="1"/>
    <col min="9707" max="9708" width="8.6640625" style="97"/>
    <col min="9709" max="9709" width="21.6640625" style="97" customWidth="1"/>
    <col min="9710" max="9710" width="9.44140625" style="97" bestFit="1" customWidth="1"/>
    <col min="9711" max="9953" width="8.6640625" style="97"/>
    <col min="9954" max="9954" width="12.6640625" style="97" customWidth="1"/>
    <col min="9955" max="9955" width="60.33203125" style="97" customWidth="1"/>
    <col min="9956" max="9957" width="12.6640625" style="97" customWidth="1"/>
    <col min="9958" max="9958" width="12.33203125" style="97" bestFit="1" customWidth="1"/>
    <col min="9959" max="9959" width="15.6640625" style="97" customWidth="1"/>
    <col min="9960" max="9960" width="17.6640625" style="97" bestFit="1" customWidth="1"/>
    <col min="9961" max="9961" width="8.6640625" style="97"/>
    <col min="9962" max="9962" width="18" style="97" bestFit="1" customWidth="1"/>
    <col min="9963" max="9964" width="8.6640625" style="97"/>
    <col min="9965" max="9965" width="21.6640625" style="97" customWidth="1"/>
    <col min="9966" max="9966" width="9.44140625" style="97" bestFit="1" customWidth="1"/>
    <col min="9967" max="10209" width="8.6640625" style="97"/>
    <col min="10210" max="10210" width="12.6640625" style="97" customWidth="1"/>
    <col min="10211" max="10211" width="60.33203125" style="97" customWidth="1"/>
    <col min="10212" max="10213" width="12.6640625" style="97" customWidth="1"/>
    <col min="10214" max="10214" width="12.33203125" style="97" bestFit="1" customWidth="1"/>
    <col min="10215" max="10215" width="15.6640625" style="97" customWidth="1"/>
    <col min="10216" max="10216" width="17.6640625" style="97" bestFit="1" customWidth="1"/>
    <col min="10217" max="10217" width="8.6640625" style="97"/>
    <col min="10218" max="10218" width="18" style="97" bestFit="1" customWidth="1"/>
    <col min="10219" max="10220" width="8.6640625" style="97"/>
    <col min="10221" max="10221" width="21.6640625" style="97" customWidth="1"/>
    <col min="10222" max="10222" width="9.44140625" style="97" bestFit="1" customWidth="1"/>
    <col min="10223" max="10465" width="8.6640625" style="97"/>
    <col min="10466" max="10466" width="12.6640625" style="97" customWidth="1"/>
    <col min="10467" max="10467" width="60.33203125" style="97" customWidth="1"/>
    <col min="10468" max="10469" width="12.6640625" style="97" customWidth="1"/>
    <col min="10470" max="10470" width="12.33203125" style="97" bestFit="1" customWidth="1"/>
    <col min="10471" max="10471" width="15.6640625" style="97" customWidth="1"/>
    <col min="10472" max="10472" width="17.6640625" style="97" bestFit="1" customWidth="1"/>
    <col min="10473" max="10473" width="8.6640625" style="97"/>
    <col min="10474" max="10474" width="18" style="97" bestFit="1" customWidth="1"/>
    <col min="10475" max="10476" width="8.6640625" style="97"/>
    <col min="10477" max="10477" width="21.6640625" style="97" customWidth="1"/>
    <col min="10478" max="10478" width="9.44140625" style="97" bestFit="1" customWidth="1"/>
    <col min="10479" max="10721" width="8.6640625" style="97"/>
    <col min="10722" max="10722" width="12.6640625" style="97" customWidth="1"/>
    <col min="10723" max="10723" width="60.33203125" style="97" customWidth="1"/>
    <col min="10724" max="10725" width="12.6640625" style="97" customWidth="1"/>
    <col min="10726" max="10726" width="12.33203125" style="97" bestFit="1" customWidth="1"/>
    <col min="10727" max="10727" width="15.6640625" style="97" customWidth="1"/>
    <col min="10728" max="10728" width="17.6640625" style="97" bestFit="1" customWidth="1"/>
    <col min="10729" max="10729" width="8.6640625" style="97"/>
    <col min="10730" max="10730" width="18" style="97" bestFit="1" customWidth="1"/>
    <col min="10731" max="10732" width="8.6640625" style="97"/>
    <col min="10733" max="10733" width="21.6640625" style="97" customWidth="1"/>
    <col min="10734" max="10734" width="9.44140625" style="97" bestFit="1" customWidth="1"/>
    <col min="10735" max="10977" width="8.6640625" style="97"/>
    <col min="10978" max="10978" width="12.6640625" style="97" customWidth="1"/>
    <col min="10979" max="10979" width="60.33203125" style="97" customWidth="1"/>
    <col min="10980" max="10981" width="12.6640625" style="97" customWidth="1"/>
    <col min="10982" max="10982" width="12.33203125" style="97" bestFit="1" customWidth="1"/>
    <col min="10983" max="10983" width="15.6640625" style="97" customWidth="1"/>
    <col min="10984" max="10984" width="17.6640625" style="97" bestFit="1" customWidth="1"/>
    <col min="10985" max="10985" width="8.6640625" style="97"/>
    <col min="10986" max="10986" width="18" style="97" bestFit="1" customWidth="1"/>
    <col min="10987" max="10988" width="8.6640625" style="97"/>
    <col min="10989" max="10989" width="21.6640625" style="97" customWidth="1"/>
    <col min="10990" max="10990" width="9.44140625" style="97" bestFit="1" customWidth="1"/>
    <col min="10991" max="11233" width="8.6640625" style="97"/>
    <col min="11234" max="11234" width="12.6640625" style="97" customWidth="1"/>
    <col min="11235" max="11235" width="60.33203125" style="97" customWidth="1"/>
    <col min="11236" max="11237" width="12.6640625" style="97" customWidth="1"/>
    <col min="11238" max="11238" width="12.33203125" style="97" bestFit="1" customWidth="1"/>
    <col min="11239" max="11239" width="15.6640625" style="97" customWidth="1"/>
    <col min="11240" max="11240" width="17.6640625" style="97" bestFit="1" customWidth="1"/>
    <col min="11241" max="11241" width="8.6640625" style="97"/>
    <col min="11242" max="11242" width="18" style="97" bestFit="1" customWidth="1"/>
    <col min="11243" max="11244" width="8.6640625" style="97"/>
    <col min="11245" max="11245" width="21.6640625" style="97" customWidth="1"/>
    <col min="11246" max="11246" width="9.44140625" style="97" bestFit="1" customWidth="1"/>
    <col min="11247" max="11489" width="8.6640625" style="97"/>
    <col min="11490" max="11490" width="12.6640625" style="97" customWidth="1"/>
    <col min="11491" max="11491" width="60.33203125" style="97" customWidth="1"/>
    <col min="11492" max="11493" width="12.6640625" style="97" customWidth="1"/>
    <col min="11494" max="11494" width="12.33203125" style="97" bestFit="1" customWidth="1"/>
    <col min="11495" max="11495" width="15.6640625" style="97" customWidth="1"/>
    <col min="11496" max="11496" width="17.6640625" style="97" bestFit="1" customWidth="1"/>
    <col min="11497" max="11497" width="8.6640625" style="97"/>
    <col min="11498" max="11498" width="18" style="97" bestFit="1" customWidth="1"/>
    <col min="11499" max="11500" width="8.6640625" style="97"/>
    <col min="11501" max="11501" width="21.6640625" style="97" customWidth="1"/>
    <col min="11502" max="11502" width="9.44140625" style="97" bestFit="1" customWidth="1"/>
    <col min="11503" max="11745" width="8.6640625" style="97"/>
    <col min="11746" max="11746" width="12.6640625" style="97" customWidth="1"/>
    <col min="11747" max="11747" width="60.33203125" style="97" customWidth="1"/>
    <col min="11748" max="11749" width="12.6640625" style="97" customWidth="1"/>
    <col min="11750" max="11750" width="12.33203125" style="97" bestFit="1" customWidth="1"/>
    <col min="11751" max="11751" width="15.6640625" style="97" customWidth="1"/>
    <col min="11752" max="11752" width="17.6640625" style="97" bestFit="1" customWidth="1"/>
    <col min="11753" max="11753" width="8.6640625" style="97"/>
    <col min="11754" max="11754" width="18" style="97" bestFit="1" customWidth="1"/>
    <col min="11755" max="11756" width="8.6640625" style="97"/>
    <col min="11757" max="11757" width="21.6640625" style="97" customWidth="1"/>
    <col min="11758" max="11758" width="9.44140625" style="97" bestFit="1" customWidth="1"/>
    <col min="11759" max="12001" width="8.6640625" style="97"/>
    <col min="12002" max="12002" width="12.6640625" style="97" customWidth="1"/>
    <col min="12003" max="12003" width="60.33203125" style="97" customWidth="1"/>
    <col min="12004" max="12005" width="12.6640625" style="97" customWidth="1"/>
    <col min="12006" max="12006" width="12.33203125" style="97" bestFit="1" customWidth="1"/>
    <col min="12007" max="12007" width="15.6640625" style="97" customWidth="1"/>
    <col min="12008" max="12008" width="17.6640625" style="97" bestFit="1" customWidth="1"/>
    <col min="12009" max="12009" width="8.6640625" style="97"/>
    <col min="12010" max="12010" width="18" style="97" bestFit="1" customWidth="1"/>
    <col min="12011" max="12012" width="8.6640625" style="97"/>
    <col min="12013" max="12013" width="21.6640625" style="97" customWidth="1"/>
    <col min="12014" max="12014" width="9.44140625" style="97" bestFit="1" customWidth="1"/>
    <col min="12015" max="12257" width="8.6640625" style="97"/>
    <col min="12258" max="12258" width="12.6640625" style="97" customWidth="1"/>
    <col min="12259" max="12259" width="60.33203125" style="97" customWidth="1"/>
    <col min="12260" max="12261" width="12.6640625" style="97" customWidth="1"/>
    <col min="12262" max="12262" width="12.33203125" style="97" bestFit="1" customWidth="1"/>
    <col min="12263" max="12263" width="15.6640625" style="97" customWidth="1"/>
    <col min="12264" max="12264" width="17.6640625" style="97" bestFit="1" customWidth="1"/>
    <col min="12265" max="12265" width="8.6640625" style="97"/>
    <col min="12266" max="12266" width="18" style="97" bestFit="1" customWidth="1"/>
    <col min="12267" max="12268" width="8.6640625" style="97"/>
    <col min="12269" max="12269" width="21.6640625" style="97" customWidth="1"/>
    <col min="12270" max="12270" width="9.44140625" style="97" bestFit="1" customWidth="1"/>
    <col min="12271" max="12513" width="8.6640625" style="97"/>
    <col min="12514" max="12514" width="12.6640625" style="97" customWidth="1"/>
    <col min="12515" max="12515" width="60.33203125" style="97" customWidth="1"/>
    <col min="12516" max="12517" width="12.6640625" style="97" customWidth="1"/>
    <col min="12518" max="12518" width="12.33203125" style="97" bestFit="1" customWidth="1"/>
    <col min="12519" max="12519" width="15.6640625" style="97" customWidth="1"/>
    <col min="12520" max="12520" width="17.6640625" style="97" bestFit="1" customWidth="1"/>
    <col min="12521" max="12521" width="8.6640625" style="97"/>
    <col min="12522" max="12522" width="18" style="97" bestFit="1" customWidth="1"/>
    <col min="12523" max="12524" width="8.6640625" style="97"/>
    <col min="12525" max="12525" width="21.6640625" style="97" customWidth="1"/>
    <col min="12526" max="12526" width="9.44140625" style="97" bestFit="1" customWidth="1"/>
    <col min="12527" max="12769" width="8.6640625" style="97"/>
    <col min="12770" max="12770" width="12.6640625" style="97" customWidth="1"/>
    <col min="12771" max="12771" width="60.33203125" style="97" customWidth="1"/>
    <col min="12772" max="12773" width="12.6640625" style="97" customWidth="1"/>
    <col min="12774" max="12774" width="12.33203125" style="97" bestFit="1" customWidth="1"/>
    <col min="12775" max="12775" width="15.6640625" style="97" customWidth="1"/>
    <col min="12776" max="12776" width="17.6640625" style="97" bestFit="1" customWidth="1"/>
    <col min="12777" max="12777" width="8.6640625" style="97"/>
    <col min="12778" max="12778" width="18" style="97" bestFit="1" customWidth="1"/>
    <col min="12779" max="12780" width="8.6640625" style="97"/>
    <col min="12781" max="12781" width="21.6640625" style="97" customWidth="1"/>
    <col min="12782" max="12782" width="9.44140625" style="97" bestFit="1" customWidth="1"/>
    <col min="12783" max="13025" width="8.6640625" style="97"/>
    <col min="13026" max="13026" width="12.6640625" style="97" customWidth="1"/>
    <col min="13027" max="13027" width="60.33203125" style="97" customWidth="1"/>
    <col min="13028" max="13029" width="12.6640625" style="97" customWidth="1"/>
    <col min="13030" max="13030" width="12.33203125" style="97" bestFit="1" customWidth="1"/>
    <col min="13031" max="13031" width="15.6640625" style="97" customWidth="1"/>
    <col min="13032" max="13032" width="17.6640625" style="97" bestFit="1" customWidth="1"/>
    <col min="13033" max="13033" width="8.6640625" style="97"/>
    <col min="13034" max="13034" width="18" style="97" bestFit="1" customWidth="1"/>
    <col min="13035" max="13036" width="8.6640625" style="97"/>
    <col min="13037" max="13037" width="21.6640625" style="97" customWidth="1"/>
    <col min="13038" max="13038" width="9.44140625" style="97" bestFit="1" customWidth="1"/>
    <col min="13039" max="13281" width="8.6640625" style="97"/>
    <col min="13282" max="13282" width="12.6640625" style="97" customWidth="1"/>
    <col min="13283" max="13283" width="60.33203125" style="97" customWidth="1"/>
    <col min="13284" max="13285" width="12.6640625" style="97" customWidth="1"/>
    <col min="13286" max="13286" width="12.33203125" style="97" bestFit="1" customWidth="1"/>
    <col min="13287" max="13287" width="15.6640625" style="97" customWidth="1"/>
    <col min="13288" max="13288" width="17.6640625" style="97" bestFit="1" customWidth="1"/>
    <col min="13289" max="13289" width="8.6640625" style="97"/>
    <col min="13290" max="13290" width="18" style="97" bestFit="1" customWidth="1"/>
    <col min="13291" max="13292" width="8.6640625" style="97"/>
    <col min="13293" max="13293" width="21.6640625" style="97" customWidth="1"/>
    <col min="13294" max="13294" width="9.44140625" style="97" bestFit="1" customWidth="1"/>
    <col min="13295" max="13537" width="8.6640625" style="97"/>
    <col min="13538" max="13538" width="12.6640625" style="97" customWidth="1"/>
    <col min="13539" max="13539" width="60.33203125" style="97" customWidth="1"/>
    <col min="13540" max="13541" width="12.6640625" style="97" customWidth="1"/>
    <col min="13542" max="13542" width="12.33203125" style="97" bestFit="1" customWidth="1"/>
    <col min="13543" max="13543" width="15.6640625" style="97" customWidth="1"/>
    <col min="13544" max="13544" width="17.6640625" style="97" bestFit="1" customWidth="1"/>
    <col min="13545" max="13545" width="8.6640625" style="97"/>
    <col min="13546" max="13546" width="18" style="97" bestFit="1" customWidth="1"/>
    <col min="13547" max="13548" width="8.6640625" style="97"/>
    <col min="13549" max="13549" width="21.6640625" style="97" customWidth="1"/>
    <col min="13550" max="13550" width="9.44140625" style="97" bestFit="1" customWidth="1"/>
    <col min="13551" max="13793" width="8.6640625" style="97"/>
    <col min="13794" max="13794" width="12.6640625" style="97" customWidth="1"/>
    <col min="13795" max="13795" width="60.33203125" style="97" customWidth="1"/>
    <col min="13796" max="13797" width="12.6640625" style="97" customWidth="1"/>
    <col min="13798" max="13798" width="12.33203125" style="97" bestFit="1" customWidth="1"/>
    <col min="13799" max="13799" width="15.6640625" style="97" customWidth="1"/>
    <col min="13800" max="13800" width="17.6640625" style="97" bestFit="1" customWidth="1"/>
    <col min="13801" max="13801" width="8.6640625" style="97"/>
    <col min="13802" max="13802" width="18" style="97" bestFit="1" customWidth="1"/>
    <col min="13803" max="13804" width="8.6640625" style="97"/>
    <col min="13805" max="13805" width="21.6640625" style="97" customWidth="1"/>
    <col min="13806" max="13806" width="9.44140625" style="97" bestFit="1" customWidth="1"/>
    <col min="13807" max="14049" width="8.6640625" style="97"/>
    <col min="14050" max="14050" width="12.6640625" style="97" customWidth="1"/>
    <col min="14051" max="14051" width="60.33203125" style="97" customWidth="1"/>
    <col min="14052" max="14053" width="12.6640625" style="97" customWidth="1"/>
    <col min="14054" max="14054" width="12.33203125" style="97" bestFit="1" customWidth="1"/>
    <col min="14055" max="14055" width="15.6640625" style="97" customWidth="1"/>
    <col min="14056" max="14056" width="17.6640625" style="97" bestFit="1" customWidth="1"/>
    <col min="14057" max="14057" width="8.6640625" style="97"/>
    <col min="14058" max="14058" width="18" style="97" bestFit="1" customWidth="1"/>
    <col min="14059" max="14060" width="8.6640625" style="97"/>
    <col min="14061" max="14061" width="21.6640625" style="97" customWidth="1"/>
    <col min="14062" max="14062" width="9.44140625" style="97" bestFit="1" customWidth="1"/>
    <col min="14063" max="14305" width="8.6640625" style="97"/>
    <col min="14306" max="14306" width="12.6640625" style="97" customWidth="1"/>
    <col min="14307" max="14307" width="60.33203125" style="97" customWidth="1"/>
    <col min="14308" max="14309" width="12.6640625" style="97" customWidth="1"/>
    <col min="14310" max="14310" width="12.33203125" style="97" bestFit="1" customWidth="1"/>
    <col min="14311" max="14311" width="15.6640625" style="97" customWidth="1"/>
    <col min="14312" max="14312" width="17.6640625" style="97" bestFit="1" customWidth="1"/>
    <col min="14313" max="14313" width="8.6640625" style="97"/>
    <col min="14314" max="14314" width="18" style="97" bestFit="1" customWidth="1"/>
    <col min="14315" max="14316" width="8.6640625" style="97"/>
    <col min="14317" max="14317" width="21.6640625" style="97" customWidth="1"/>
    <col min="14318" max="14318" width="9.44140625" style="97" bestFit="1" customWidth="1"/>
    <col min="14319" max="14561" width="8.6640625" style="97"/>
    <col min="14562" max="14562" width="12.6640625" style="97" customWidth="1"/>
    <col min="14563" max="14563" width="60.33203125" style="97" customWidth="1"/>
    <col min="14564" max="14565" width="12.6640625" style="97" customWidth="1"/>
    <col min="14566" max="14566" width="12.33203125" style="97" bestFit="1" customWidth="1"/>
    <col min="14567" max="14567" width="15.6640625" style="97" customWidth="1"/>
    <col min="14568" max="14568" width="17.6640625" style="97" bestFit="1" customWidth="1"/>
    <col min="14569" max="14569" width="8.6640625" style="97"/>
    <col min="14570" max="14570" width="18" style="97" bestFit="1" customWidth="1"/>
    <col min="14571" max="14572" width="8.6640625" style="97"/>
    <col min="14573" max="14573" width="21.6640625" style="97" customWidth="1"/>
    <col min="14574" max="14574" width="9.44140625" style="97" bestFit="1" customWidth="1"/>
    <col min="14575" max="14817" width="8.6640625" style="97"/>
    <col min="14818" max="14818" width="12.6640625" style="97" customWidth="1"/>
    <col min="14819" max="14819" width="60.33203125" style="97" customWidth="1"/>
    <col min="14820" max="14821" width="12.6640625" style="97" customWidth="1"/>
    <col min="14822" max="14822" width="12.33203125" style="97" bestFit="1" customWidth="1"/>
    <col min="14823" max="14823" width="15.6640625" style="97" customWidth="1"/>
    <col min="14824" max="14824" width="17.6640625" style="97" bestFit="1" customWidth="1"/>
    <col min="14825" max="14825" width="8.6640625" style="97"/>
    <col min="14826" max="14826" width="18" style="97" bestFit="1" customWidth="1"/>
    <col min="14827" max="14828" width="8.6640625" style="97"/>
    <col min="14829" max="14829" width="21.6640625" style="97" customWidth="1"/>
    <col min="14830" max="14830" width="9.44140625" style="97" bestFit="1" customWidth="1"/>
    <col min="14831" max="15073" width="8.6640625" style="97"/>
    <col min="15074" max="15074" width="12.6640625" style="97" customWidth="1"/>
    <col min="15075" max="15075" width="60.33203125" style="97" customWidth="1"/>
    <col min="15076" max="15077" width="12.6640625" style="97" customWidth="1"/>
    <col min="15078" max="15078" width="12.33203125" style="97" bestFit="1" customWidth="1"/>
    <col min="15079" max="15079" width="15.6640625" style="97" customWidth="1"/>
    <col min="15080" max="15080" width="17.6640625" style="97" bestFit="1" customWidth="1"/>
    <col min="15081" max="15081" width="8.6640625" style="97"/>
    <col min="15082" max="15082" width="18" style="97" bestFit="1" customWidth="1"/>
    <col min="15083" max="15084" width="8.6640625" style="97"/>
    <col min="15085" max="15085" width="21.6640625" style="97" customWidth="1"/>
    <col min="15086" max="15086" width="9.44140625" style="97" bestFit="1" customWidth="1"/>
    <col min="15087" max="15329" width="8.6640625" style="97"/>
    <col min="15330" max="15330" width="12.6640625" style="97" customWidth="1"/>
    <col min="15331" max="15331" width="60.33203125" style="97" customWidth="1"/>
    <col min="15332" max="15333" width="12.6640625" style="97" customWidth="1"/>
    <col min="15334" max="15334" width="12.33203125" style="97" bestFit="1" customWidth="1"/>
    <col min="15335" max="15335" width="15.6640625" style="97" customWidth="1"/>
    <col min="15336" max="15336" width="17.6640625" style="97" bestFit="1" customWidth="1"/>
    <col min="15337" max="15337" width="8.6640625" style="97"/>
    <col min="15338" max="15338" width="18" style="97" bestFit="1" customWidth="1"/>
    <col min="15339" max="15340" width="8.6640625" style="97"/>
    <col min="15341" max="15341" width="21.6640625" style="97" customWidth="1"/>
    <col min="15342" max="15342" width="9.44140625" style="97" bestFit="1" customWidth="1"/>
    <col min="15343" max="15585" width="8.6640625" style="97"/>
    <col min="15586" max="15586" width="12.6640625" style="97" customWidth="1"/>
    <col min="15587" max="15587" width="60.33203125" style="97" customWidth="1"/>
    <col min="15588" max="15589" width="12.6640625" style="97" customWidth="1"/>
    <col min="15590" max="15590" width="12.33203125" style="97" bestFit="1" customWidth="1"/>
    <col min="15591" max="15591" width="15.6640625" style="97" customWidth="1"/>
    <col min="15592" max="15592" width="17.6640625" style="97" bestFit="1" customWidth="1"/>
    <col min="15593" max="15593" width="8.6640625" style="97"/>
    <col min="15594" max="15594" width="18" style="97" bestFit="1" customWidth="1"/>
    <col min="15595" max="15596" width="8.6640625" style="97"/>
    <col min="15597" max="15597" width="21.6640625" style="97" customWidth="1"/>
    <col min="15598" max="15598" width="9.44140625" style="97" bestFit="1" customWidth="1"/>
    <col min="15599" max="15841" width="8.6640625" style="97"/>
    <col min="15842" max="15842" width="12.6640625" style="97" customWidth="1"/>
    <col min="15843" max="15843" width="60.33203125" style="97" customWidth="1"/>
    <col min="15844" max="15845" width="12.6640625" style="97" customWidth="1"/>
    <col min="15846" max="15846" width="12.33203125" style="97" bestFit="1" customWidth="1"/>
    <col min="15847" max="15847" width="15.6640625" style="97" customWidth="1"/>
    <col min="15848" max="15848" width="17.6640625" style="97" bestFit="1" customWidth="1"/>
    <col min="15849" max="15849" width="8.6640625" style="97"/>
    <col min="15850" max="15850" width="18" style="97" bestFit="1" customWidth="1"/>
    <col min="15851" max="15852" width="8.6640625" style="97"/>
    <col min="15853" max="15853" width="21.6640625" style="97" customWidth="1"/>
    <col min="15854" max="15854" width="9.44140625" style="97" bestFit="1" customWidth="1"/>
    <col min="15855" max="16097" width="8.6640625" style="97"/>
    <col min="16098" max="16098" width="12.6640625" style="97" customWidth="1"/>
    <col min="16099" max="16099" width="60.33203125" style="97" customWidth="1"/>
    <col min="16100" max="16101" width="12.6640625" style="97" customWidth="1"/>
    <col min="16102" max="16102" width="12.33203125" style="97" bestFit="1" customWidth="1"/>
    <col min="16103" max="16103" width="15.6640625" style="97" customWidth="1"/>
    <col min="16104" max="16104" width="17.6640625" style="97" bestFit="1" customWidth="1"/>
    <col min="16105" max="16105" width="8.6640625" style="97"/>
    <col min="16106" max="16106" width="18" style="97" bestFit="1" customWidth="1"/>
    <col min="16107" max="16108" width="8.6640625" style="97"/>
    <col min="16109" max="16109" width="21.6640625" style="97" customWidth="1"/>
    <col min="16110" max="16110" width="9.44140625" style="97" bestFit="1" customWidth="1"/>
    <col min="16111" max="16384" width="8.6640625" style="97"/>
  </cols>
  <sheetData>
    <row r="1" spans="1:17" ht="81" customHeight="1" thickBot="1">
      <c r="A1" s="538" t="s">
        <v>94</v>
      </c>
      <c r="B1" s="539"/>
      <c r="C1" s="540" t="str">
        <f>'Custo Gerencial LOTE 01'!C2:E2</f>
        <v>BR-116/RJ/SP (NOVADUTRA)
BR-116/SP/PR (RÉGIS BITTENCOURT)
BR-153/SP (TRANSBRASILIANA)</v>
      </c>
      <c r="D1" s="540"/>
      <c r="E1" s="540"/>
      <c r="F1" s="293"/>
      <c r="G1" s="293"/>
      <c r="H1" s="143">
        <f>'Custo Gerencial LOTE 01'!C3</f>
        <v>1125.2</v>
      </c>
    </row>
    <row r="2" spans="1:17" ht="19.95" customHeight="1" thickBot="1">
      <c r="A2" s="98"/>
      <c r="B2" s="99"/>
      <c r="C2" s="99"/>
      <c r="D2" s="99"/>
      <c r="E2" s="100"/>
      <c r="F2" s="100"/>
      <c r="G2" s="100"/>
      <c r="L2" s="101" t="s">
        <v>95</v>
      </c>
      <c r="M2" s="67">
        <v>400</v>
      </c>
    </row>
    <row r="3" spans="1:17" ht="19.95" customHeight="1">
      <c r="A3" s="144" t="s">
        <v>75</v>
      </c>
      <c r="B3" s="535" t="s">
        <v>76</v>
      </c>
      <c r="C3" s="535"/>
      <c r="D3" s="535"/>
      <c r="E3" s="535"/>
      <c r="F3" s="536"/>
      <c r="G3" s="536"/>
      <c r="H3" s="537"/>
      <c r="L3" s="541" t="s">
        <v>96</v>
      </c>
      <c r="M3" s="542"/>
      <c r="N3" s="542"/>
      <c r="O3" s="542"/>
      <c r="P3" s="542"/>
      <c r="Q3" s="543"/>
    </row>
    <row r="4" spans="1:17" ht="19.95" customHeight="1">
      <c r="A4" s="102" t="s">
        <v>12</v>
      </c>
      <c r="B4" s="103" t="s">
        <v>14</v>
      </c>
      <c r="C4" s="103" t="s">
        <v>15</v>
      </c>
      <c r="D4" s="103" t="s">
        <v>16</v>
      </c>
      <c r="E4" s="103" t="s">
        <v>97</v>
      </c>
      <c r="F4" s="294" t="s">
        <v>255</v>
      </c>
      <c r="G4" s="294" t="s">
        <v>257</v>
      </c>
      <c r="H4" s="104" t="s">
        <v>98</v>
      </c>
      <c r="L4" s="209" t="s">
        <v>99</v>
      </c>
      <c r="M4" s="210" t="s">
        <v>100</v>
      </c>
      <c r="N4" s="210" t="s">
        <v>101</v>
      </c>
      <c r="O4" s="210" t="s">
        <v>102</v>
      </c>
      <c r="P4" s="210" t="s">
        <v>103</v>
      </c>
      <c r="Q4" s="210" t="s">
        <v>104</v>
      </c>
    </row>
    <row r="5" spans="1:17" ht="19.95" customHeight="1">
      <c r="A5" s="105"/>
      <c r="B5" s="35" t="str">
        <f>B3</f>
        <v>Relatório de Apoio na Análise da Monitoração do Pavimento</v>
      </c>
      <c r="C5" s="36"/>
      <c r="D5" s="106"/>
      <c r="E5" s="39"/>
      <c r="F5" s="295"/>
      <c r="G5" s="295"/>
      <c r="H5" s="345">
        <f>H17+H19</f>
        <v>412700.40179322066</v>
      </c>
      <c r="L5" s="209" t="s">
        <v>105</v>
      </c>
      <c r="M5" s="211">
        <f>264*Q6</f>
        <v>2112</v>
      </c>
      <c r="N5" s="209">
        <v>12</v>
      </c>
      <c r="O5" s="209"/>
      <c r="P5" s="209"/>
      <c r="Q5" s="209"/>
    </row>
    <row r="6" spans="1:17" ht="19.95" customHeight="1">
      <c r="A6" s="105">
        <v>1</v>
      </c>
      <c r="B6" s="35" t="s">
        <v>106</v>
      </c>
      <c r="C6" s="36"/>
      <c r="D6" s="106"/>
      <c r="E6" s="39"/>
      <c r="F6" s="295"/>
      <c r="G6" s="351">
        <f>SUM(G7:G9)</f>
        <v>81722.109742308123</v>
      </c>
      <c r="H6" s="345">
        <f>SUM(H7:H9)</f>
        <v>89078.882543043452</v>
      </c>
      <c r="L6" s="209"/>
      <c r="M6" s="209"/>
      <c r="N6" s="209"/>
      <c r="O6" s="212">
        <f>P6*Q6</f>
        <v>176</v>
      </c>
      <c r="P6" s="209">
        <v>22</v>
      </c>
      <c r="Q6" s="212">
        <v>8</v>
      </c>
    </row>
    <row r="7" spans="1:17" ht="19.95" customHeight="1">
      <c r="A7" s="32" t="s">
        <v>655</v>
      </c>
      <c r="B7" s="37" t="str">
        <f>CONCATENATE(VLOOKUP(A7,'Planilha base'!$C$11:$K$35,9,FALSE)," - Pavimentação")</f>
        <v>Engenheiro de projetos sênior - Pavimentação</v>
      </c>
      <c r="C7" s="36" t="s">
        <v>107</v>
      </c>
      <c r="D7" s="179">
        <f>($J$7*$H$1)/$M$2</f>
        <v>247.54400000000001</v>
      </c>
      <c r="E7" s="343">
        <f>VLOOKUP(A7,'Planilha base'!$C$11:$K$35,6,FALSE)/'Planilha base'!$H$38</f>
        <v>76.099786289659704</v>
      </c>
      <c r="F7" s="284">
        <f>VLOOKUP(A7,'Planilha base'!$C$11:$K$35,4,FALSE)</f>
        <v>0.86</v>
      </c>
      <c r="G7" s="352">
        <f>D7*E7*F7</f>
        <v>16200.719127667269</v>
      </c>
      <c r="H7" s="346">
        <f>D7*E7</f>
        <v>18838.045497287523</v>
      </c>
      <c r="J7" s="108">
        <f>O7</f>
        <v>88</v>
      </c>
      <c r="L7" s="213"/>
      <c r="M7" s="213"/>
      <c r="N7" s="214">
        <v>0.5</v>
      </c>
      <c r="O7" s="212">
        <f>O6*(N7)</f>
        <v>88</v>
      </c>
      <c r="P7" s="213"/>
      <c r="Q7" s="213"/>
    </row>
    <row r="8" spans="1:17" ht="19.95" customHeight="1">
      <c r="A8" s="32" t="s">
        <v>651</v>
      </c>
      <c r="B8" s="37" t="str">
        <f>VLOOKUP(A8,'Planilha base'!$C$11:$K$35,9,FALSE)</f>
        <v>Engenheiro de projetos júnior</v>
      </c>
      <c r="C8" s="36" t="s">
        <v>107</v>
      </c>
      <c r="D8" s="179">
        <f>((($J$7*$H$1)/$M$2)+((NovaDutra!P5+Régis!W5+Transbrasiliana!P5)*8))</f>
        <v>1087.5440000000001</v>
      </c>
      <c r="E8" s="343">
        <f>VLOOKUP(A8,'Planilha base'!$C$11:$K$35,6,FALSE)/'Planilha base'!$H$38</f>
        <v>51.235684147076547</v>
      </c>
      <c r="F8" s="284">
        <f>VLOOKUP(A8,'Planilha base'!$C$11:$K$35,4,FALSE)</f>
        <v>0.89</v>
      </c>
      <c r="G8" s="352">
        <f t="shared" ref="G8:G9" si="0">D8*E8*F8</f>
        <v>49591.744183242918</v>
      </c>
      <c r="H8" s="346">
        <f>D8*E8</f>
        <v>55721.060880048222</v>
      </c>
      <c r="N8" s="109"/>
      <c r="O8" s="110"/>
    </row>
    <row r="9" spans="1:17" ht="19.95" customHeight="1">
      <c r="A9" s="32" t="s">
        <v>719</v>
      </c>
      <c r="B9" s="37" t="str">
        <f>VLOOKUP(A9,'Planilha base'!$C$11:$K$35,9,FALSE)</f>
        <v>Técnico de obras</v>
      </c>
      <c r="C9" s="36" t="s">
        <v>107</v>
      </c>
      <c r="D9" s="179">
        <f>(($J$7*$H$1)/$M$2+((NovaDutra!P5+Régis!W5+Transbrasiliana!P5)*8))</f>
        <v>1087.5440000000001</v>
      </c>
      <c r="E9" s="343">
        <f>VLOOKUP(A9,'Planilha base'!$C$11:$K$35,6,FALSE)/'Planilha base'!$H$38</f>
        <v>13.350978135788262</v>
      </c>
      <c r="F9" s="284">
        <f>VLOOKUP(A9,'Planilha base'!$C$11:$K$35,4,FALSE)</f>
        <v>1.0971</v>
      </c>
      <c r="G9" s="352">
        <f t="shared" si="0"/>
        <v>15929.64643139793</v>
      </c>
      <c r="H9" s="346">
        <f>D9*E9</f>
        <v>14519.776165707712</v>
      </c>
      <c r="N9" s="82"/>
    </row>
    <row r="10" spans="1:17" ht="19.95" customHeight="1">
      <c r="A10" s="107"/>
      <c r="B10" s="37"/>
      <c r="C10" s="36"/>
      <c r="D10" s="111"/>
      <c r="E10" s="205"/>
      <c r="F10" s="284"/>
      <c r="G10" s="284"/>
      <c r="H10" s="346"/>
      <c r="Q10" s="112"/>
    </row>
    <row r="11" spans="1:17" ht="19.95" customHeight="1">
      <c r="A11" s="105">
        <v>2</v>
      </c>
      <c r="B11" s="35" t="s">
        <v>334</v>
      </c>
      <c r="C11" s="113"/>
      <c r="D11" s="106"/>
      <c r="E11" s="362"/>
      <c r="F11" s="285"/>
      <c r="G11" s="285"/>
      <c r="H11" s="345">
        <f>SUM(H12:H12)</f>
        <v>19505.473318987148</v>
      </c>
      <c r="O11" s="114"/>
    </row>
    <row r="12" spans="1:17" ht="19.95" customHeight="1">
      <c r="A12" s="32" t="s">
        <v>335</v>
      </c>
      <c r="B12" s="45" t="s">
        <v>334</v>
      </c>
      <c r="C12" s="47" t="s">
        <v>52</v>
      </c>
      <c r="D12" s="111">
        <f>H6+G6</f>
        <v>170800.99228535156</v>
      </c>
      <c r="E12" s="206">
        <f>'Planilha base'!$H$39</f>
        <v>0.1142</v>
      </c>
      <c r="F12" s="281"/>
      <c r="G12" s="281"/>
      <c r="H12" s="346">
        <f>D12*E12</f>
        <v>19505.473318987148</v>
      </c>
    </row>
    <row r="13" spans="1:17" ht="19.95" customHeight="1">
      <c r="A13" s="107"/>
      <c r="B13" s="37"/>
      <c r="C13" s="36"/>
      <c r="D13" s="111"/>
      <c r="E13" s="205"/>
      <c r="F13" s="284"/>
      <c r="G13" s="284"/>
      <c r="H13" s="346"/>
    </row>
    <row r="14" spans="1:17" ht="19.95" customHeight="1">
      <c r="A14" s="105">
        <v>3</v>
      </c>
      <c r="B14" s="35" t="s">
        <v>333</v>
      </c>
      <c r="C14" s="113"/>
      <c r="D14" s="106"/>
      <c r="E14" s="362"/>
      <c r="F14" s="285"/>
      <c r="G14" s="285"/>
      <c r="H14" s="345">
        <f>SUM(H15:H16)</f>
        <v>55595.722988881927</v>
      </c>
    </row>
    <row r="15" spans="1:17" s="116" customFormat="1" ht="19.95" customHeight="1">
      <c r="A15" s="32" t="s">
        <v>336</v>
      </c>
      <c r="B15" s="37" t="s">
        <v>67</v>
      </c>
      <c r="C15" s="47" t="s">
        <v>52</v>
      </c>
      <c r="D15" s="111">
        <f>H6+G6</f>
        <v>170800.99228535156</v>
      </c>
      <c r="E15" s="206">
        <f>'Planilha base'!$H$40</f>
        <v>0.12</v>
      </c>
      <c r="F15" s="281"/>
      <c r="G15" s="281"/>
      <c r="H15" s="346">
        <f>D15*E15</f>
        <v>20496.119074242186</v>
      </c>
    </row>
    <row r="16" spans="1:17" s="116" customFormat="1" ht="19.95" customHeight="1">
      <c r="A16" s="32" t="s">
        <v>108</v>
      </c>
      <c r="B16" s="37" t="s">
        <v>68</v>
      </c>
      <c r="C16" s="47" t="s">
        <v>52</v>
      </c>
      <c r="D16" s="111">
        <f>H6+G6</f>
        <v>170800.99228535156</v>
      </c>
      <c r="E16" s="206">
        <f>'Planilha base'!$H$41</f>
        <v>0.20550000000000002</v>
      </c>
      <c r="F16" s="281"/>
      <c r="G16" s="281"/>
      <c r="H16" s="346">
        <f>D16*E16</f>
        <v>35099.603914639745</v>
      </c>
    </row>
    <row r="17" spans="1:18" s="116" customFormat="1" ht="19.95" customHeight="1">
      <c r="A17" s="32"/>
      <c r="B17" s="37"/>
      <c r="C17" s="47"/>
      <c r="D17" s="111"/>
      <c r="E17" s="206"/>
      <c r="F17" s="281"/>
      <c r="G17" s="281"/>
      <c r="H17" s="345">
        <f>G6+H6+H11+H14</f>
        <v>245902.18859322064</v>
      </c>
    </row>
    <row r="18" spans="1:18" s="116" customFormat="1" ht="19.95" customHeight="1">
      <c r="A18" s="32"/>
      <c r="B18" s="37"/>
      <c r="C18" s="47"/>
      <c r="D18" s="111"/>
      <c r="E18" s="206"/>
      <c r="F18" s="281"/>
      <c r="G18" s="281"/>
      <c r="H18" s="346"/>
    </row>
    <row r="19" spans="1:18" s="116" customFormat="1" ht="19.95" customHeight="1">
      <c r="A19" s="117" t="s">
        <v>110</v>
      </c>
      <c r="B19" s="118" t="s">
        <v>19</v>
      </c>
      <c r="C19" s="119" t="s">
        <v>107</v>
      </c>
      <c r="D19" s="120">
        <f>SUM(D7:D9)</f>
        <v>2422.6320000000005</v>
      </c>
      <c r="E19" s="349">
        <f>'Custo Gerencial LOTE 01'!$I$66</f>
        <v>68.849999999999994</v>
      </c>
      <c r="F19" s="296"/>
      <c r="G19" s="296"/>
      <c r="H19" s="347">
        <f>D19*E19</f>
        <v>166798.21320000003</v>
      </c>
    </row>
    <row r="20" spans="1:18" s="116" customFormat="1" ht="19.95" customHeight="1">
      <c r="A20" s="32"/>
      <c r="B20" s="37"/>
      <c r="C20" s="47"/>
      <c r="D20" s="111"/>
      <c r="E20" s="206"/>
      <c r="F20" s="281"/>
      <c r="G20" s="281"/>
      <c r="H20" s="346"/>
    </row>
    <row r="21" spans="1:18" s="116" customFormat="1" ht="19.95" customHeight="1" thickBot="1">
      <c r="A21" s="121"/>
      <c r="B21" s="122" t="s">
        <v>111</v>
      </c>
      <c r="C21" s="123" t="s">
        <v>57</v>
      </c>
      <c r="D21" s="124">
        <v>1</v>
      </c>
      <c r="E21" s="363">
        <f>H5</f>
        <v>412700.40179322066</v>
      </c>
      <c r="F21" s="364"/>
      <c r="G21" s="364"/>
      <c r="H21" s="348">
        <f>E21*D21</f>
        <v>412700.40179322066</v>
      </c>
      <c r="L21" s="125"/>
      <c r="M21" s="125"/>
      <c r="N21" s="125"/>
      <c r="O21" s="125"/>
      <c r="P21" s="125"/>
      <c r="Q21" s="125"/>
      <c r="R21" s="125"/>
    </row>
    <row r="22" spans="1:18" ht="19.95" customHeight="1" thickBot="1">
      <c r="A22" s="126"/>
      <c r="B22" s="126"/>
      <c r="C22" s="126"/>
      <c r="D22" s="126"/>
      <c r="E22" s="126"/>
      <c r="F22" s="126"/>
      <c r="G22" s="126"/>
      <c r="H22" s="126"/>
      <c r="L22" s="127"/>
      <c r="M22" s="127"/>
      <c r="N22" s="127"/>
      <c r="O22" s="127"/>
      <c r="P22" s="127"/>
      <c r="Q22" s="127"/>
      <c r="R22" s="127"/>
    </row>
    <row r="23" spans="1:18" ht="19.95" customHeight="1">
      <c r="A23" s="144" t="s">
        <v>77</v>
      </c>
      <c r="B23" s="535" t="s">
        <v>78</v>
      </c>
      <c r="C23" s="535"/>
      <c r="D23" s="535"/>
      <c r="E23" s="535"/>
      <c r="F23" s="536"/>
      <c r="G23" s="536"/>
      <c r="H23" s="537"/>
    </row>
    <row r="24" spans="1:18" ht="19.95" customHeight="1">
      <c r="A24" s="102" t="s">
        <v>12</v>
      </c>
      <c r="B24" s="103" t="s">
        <v>14</v>
      </c>
      <c r="C24" s="103" t="s">
        <v>15</v>
      </c>
      <c r="D24" s="103" t="s">
        <v>16</v>
      </c>
      <c r="E24" s="103" t="s">
        <v>97</v>
      </c>
      <c r="F24" s="294" t="s">
        <v>255</v>
      </c>
      <c r="G24" s="294" t="s">
        <v>257</v>
      </c>
      <c r="H24" s="104" t="s">
        <v>98</v>
      </c>
    </row>
    <row r="25" spans="1:18" ht="19.95" customHeight="1">
      <c r="A25" s="105"/>
      <c r="B25" s="35" t="str">
        <f>B23</f>
        <v>Relatório de Apoio na Análise da Monitoração da Sinalização Horizontal</v>
      </c>
      <c r="C25" s="36"/>
      <c r="D25" s="106"/>
      <c r="E25" s="39"/>
      <c r="F25" s="295"/>
      <c r="G25" s="351"/>
      <c r="H25" s="345">
        <f>H37+H39</f>
        <v>539037.71789125982</v>
      </c>
    </row>
    <row r="26" spans="1:18" ht="19.95" customHeight="1">
      <c r="A26" s="105">
        <v>1</v>
      </c>
      <c r="B26" s="35" t="s">
        <v>106</v>
      </c>
      <c r="C26" s="36"/>
      <c r="D26" s="106"/>
      <c r="E26" s="39"/>
      <c r="F26" s="295"/>
      <c r="G26" s="351">
        <f>SUM(G27:G29)</f>
        <v>101903.87963040435</v>
      </c>
      <c r="H26" s="345">
        <f>SUM(H27:H29)</f>
        <v>109687.43602330721</v>
      </c>
    </row>
    <row r="27" spans="1:18" ht="19.95" customHeight="1">
      <c r="A27" s="32" t="s">
        <v>653</v>
      </c>
      <c r="B27" s="45" t="str">
        <f>CONCATENATE(VLOOKUP(A27,'Planilha base'!$C$11:$K$35,9,FALSE)," - Sinalização")</f>
        <v>Engenheiro de projetos pleno - Sinalização</v>
      </c>
      <c r="C27" s="48" t="s">
        <v>107</v>
      </c>
      <c r="D27" s="180">
        <f>(J27*$H$1)/$M$2</f>
        <v>135.024</v>
      </c>
      <c r="E27" s="343">
        <f>VLOOKUP(A27,'Planilha base'!$C$11:$K$35,6,FALSE)/'Planilha base'!$H$38</f>
        <v>57.69094196942298</v>
      </c>
      <c r="F27" s="284">
        <f>VLOOKUP(A27,'Planilha base'!$C$11:$K$35,4,FALSE)</f>
        <v>0.87970000000000004</v>
      </c>
      <c r="G27" s="352">
        <f t="shared" ref="G27:G29" si="1">D27*E27*F27</f>
        <v>6852.5654401373013</v>
      </c>
      <c r="H27" s="353">
        <f>D27*E27</f>
        <v>7789.6617484793687</v>
      </c>
      <c r="J27" s="97">
        <v>48</v>
      </c>
    </row>
    <row r="28" spans="1:18" ht="19.95" customHeight="1">
      <c r="A28" s="32" t="s">
        <v>651</v>
      </c>
      <c r="B28" s="37" t="str">
        <f>VLOOKUP(A28,'Planilha base'!$C$11:$K$35,9,FALSE)</f>
        <v>Engenheiro de projetos júnior</v>
      </c>
      <c r="C28" s="48" t="s">
        <v>107</v>
      </c>
      <c r="D28" s="180">
        <f>((J28*$H$1)/$M$2+((NovaDutra!P6+Régis!W6+Transbrasiliana!P6+Transbrasiliana!P8)*8))</f>
        <v>1577.6906666666669</v>
      </c>
      <c r="E28" s="343">
        <f>VLOOKUP(A28,'Planilha base'!$C$11:$K$35,6,FALSE)/'Planilha base'!$H$38</f>
        <v>51.235684147076547</v>
      </c>
      <c r="F28" s="284">
        <f>VLOOKUP(A28,'Planilha base'!$C$11:$K$35,4,FALSE)</f>
        <v>0.89</v>
      </c>
      <c r="G28" s="352">
        <f t="shared" si="1"/>
        <v>71942.314004420332</v>
      </c>
      <c r="H28" s="353">
        <f>D28*E28</f>
        <v>80834.06067912397</v>
      </c>
      <c r="J28" s="97">
        <v>48</v>
      </c>
    </row>
    <row r="29" spans="1:18" ht="19.95" customHeight="1">
      <c r="A29" s="32" t="s">
        <v>719</v>
      </c>
      <c r="B29" s="37" t="str">
        <f>VLOOKUP(A29,'Planilha base'!$C$11:$K$35,9,FALSE)</f>
        <v>Técnico de obras</v>
      </c>
      <c r="C29" s="48" t="s">
        <v>107</v>
      </c>
      <c r="D29" s="180">
        <f>((J29*$H$1)/$M$2+((NovaDutra!P6+Régis!W6+Transbrasiliana!P6+Transbrasiliana!P8)*8))</f>
        <v>1577.6906666666669</v>
      </c>
      <c r="E29" s="343">
        <f>VLOOKUP(A29,'Planilha base'!$C$11:$K$35,6,FALSE)/'Planilha base'!$H$38</f>
        <v>13.350978135788262</v>
      </c>
      <c r="F29" s="284">
        <f>VLOOKUP(A29,'Planilha base'!$C$11:$K$35,4,FALSE)</f>
        <v>1.0971</v>
      </c>
      <c r="G29" s="352">
        <f t="shared" si="1"/>
        <v>23109.000185846722</v>
      </c>
      <c r="H29" s="353">
        <f>D29*E29</f>
        <v>21063.713595703877</v>
      </c>
      <c r="J29" s="97">
        <v>48</v>
      </c>
    </row>
    <row r="30" spans="1:18" ht="19.95" customHeight="1">
      <c r="A30" s="107"/>
      <c r="B30" s="45"/>
      <c r="C30" s="48"/>
      <c r="D30" s="29"/>
      <c r="E30" s="47"/>
      <c r="F30" s="255"/>
      <c r="G30" s="352"/>
      <c r="H30" s="353"/>
    </row>
    <row r="31" spans="1:18" ht="19.95" customHeight="1">
      <c r="A31" s="105">
        <v>2</v>
      </c>
      <c r="B31" s="35" t="s">
        <v>334</v>
      </c>
      <c r="C31" s="181"/>
      <c r="D31" s="40"/>
      <c r="E31" s="39"/>
      <c r="F31" s="295"/>
      <c r="G31" s="351"/>
      <c r="H31" s="354">
        <f>SUM(H32)</f>
        <v>24163.72824765386</v>
      </c>
    </row>
    <row r="32" spans="1:18" ht="19.95" customHeight="1">
      <c r="A32" s="32" t="s">
        <v>335</v>
      </c>
      <c r="B32" s="45" t="s">
        <v>334</v>
      </c>
      <c r="C32" s="47" t="s">
        <v>52</v>
      </c>
      <c r="D32" s="29">
        <f>H26+G26</f>
        <v>211591.31565371156</v>
      </c>
      <c r="E32" s="206">
        <f>'Planilha base'!$H$39</f>
        <v>0.1142</v>
      </c>
      <c r="F32" s="281"/>
      <c r="G32" s="352"/>
      <c r="H32" s="353">
        <f>D32*E32</f>
        <v>24163.72824765386</v>
      </c>
    </row>
    <row r="33" spans="1:10" ht="19.95" customHeight="1">
      <c r="A33" s="32"/>
      <c r="B33" s="45"/>
      <c r="C33" s="47"/>
      <c r="D33" s="29"/>
      <c r="E33" s="206"/>
      <c r="F33" s="281"/>
      <c r="G33" s="352"/>
      <c r="H33" s="353"/>
    </row>
    <row r="34" spans="1:10" ht="19.95" customHeight="1">
      <c r="A34" s="105">
        <v>3</v>
      </c>
      <c r="B34" s="30" t="s">
        <v>109</v>
      </c>
      <c r="C34" s="181"/>
      <c r="D34" s="40"/>
      <c r="E34" s="39"/>
      <c r="F34" s="295"/>
      <c r="G34" s="351"/>
      <c r="H34" s="354">
        <f>SUM(H35:H36)</f>
        <v>76738.266789894449</v>
      </c>
    </row>
    <row r="35" spans="1:10" s="116" customFormat="1" ht="19.95" customHeight="1">
      <c r="A35" s="32" t="s">
        <v>336</v>
      </c>
      <c r="B35" s="45" t="s">
        <v>67</v>
      </c>
      <c r="C35" s="47" t="s">
        <v>52</v>
      </c>
      <c r="D35" s="29">
        <f>H26+G26+H31</f>
        <v>235755.04390136542</v>
      </c>
      <c r="E35" s="206">
        <f>'Planilha base'!$H$40</f>
        <v>0.12</v>
      </c>
      <c r="F35" s="281"/>
      <c r="G35" s="352"/>
      <c r="H35" s="353">
        <f>D35*E35</f>
        <v>28290.60526816385</v>
      </c>
    </row>
    <row r="36" spans="1:10" s="116" customFormat="1" ht="19.95" customHeight="1">
      <c r="A36" s="32" t="s">
        <v>108</v>
      </c>
      <c r="B36" s="37" t="s">
        <v>68</v>
      </c>
      <c r="C36" s="47" t="s">
        <v>52</v>
      </c>
      <c r="D36" s="29">
        <f>H26+G26+H31</f>
        <v>235755.04390136542</v>
      </c>
      <c r="E36" s="206">
        <f>'Planilha base'!$H$41</f>
        <v>0.20550000000000002</v>
      </c>
      <c r="F36" s="281"/>
      <c r="G36" s="352"/>
      <c r="H36" s="346">
        <f>D36*E36</f>
        <v>48447.661521730595</v>
      </c>
    </row>
    <row r="37" spans="1:10" s="116" customFormat="1" ht="19.95" customHeight="1">
      <c r="A37" s="32"/>
      <c r="B37" s="37"/>
      <c r="C37" s="47"/>
      <c r="D37" s="111"/>
      <c r="E37" s="206"/>
      <c r="F37" s="281"/>
      <c r="G37" s="352"/>
      <c r="H37" s="345">
        <f>H34+H31+H26+G26</f>
        <v>312493.31069125986</v>
      </c>
    </row>
    <row r="38" spans="1:10" s="116" customFormat="1" ht="19.95" customHeight="1">
      <c r="A38" s="32"/>
      <c r="B38" s="37"/>
      <c r="C38" s="47"/>
      <c r="D38" s="111"/>
      <c r="E38" s="206"/>
      <c r="F38" s="281"/>
      <c r="G38" s="352"/>
      <c r="H38" s="346"/>
    </row>
    <row r="39" spans="1:10" s="116" customFormat="1" ht="19.95" customHeight="1">
      <c r="A39" s="117" t="s">
        <v>110</v>
      </c>
      <c r="B39" s="118" t="s">
        <v>19</v>
      </c>
      <c r="C39" s="119" t="s">
        <v>107</v>
      </c>
      <c r="D39" s="120">
        <f>SUM(D27:D29)</f>
        <v>3290.4053333333336</v>
      </c>
      <c r="E39" s="349">
        <f>'Custo Gerencial LOTE 01'!$I$66</f>
        <v>68.849999999999994</v>
      </c>
      <c r="F39" s="296"/>
      <c r="G39" s="355"/>
      <c r="H39" s="347">
        <f>D39*E39</f>
        <v>226544.40719999999</v>
      </c>
    </row>
    <row r="40" spans="1:10" s="116" customFormat="1" ht="19.95" customHeight="1">
      <c r="A40" s="32"/>
      <c r="B40" s="37"/>
      <c r="C40" s="47"/>
      <c r="D40" s="111"/>
      <c r="E40" s="115"/>
      <c r="F40" s="254"/>
      <c r="G40" s="356"/>
      <c r="H40" s="346"/>
    </row>
    <row r="41" spans="1:10" s="116" customFormat="1" ht="19.95" customHeight="1" thickBot="1">
      <c r="A41" s="121"/>
      <c r="B41" s="122" t="s">
        <v>111</v>
      </c>
      <c r="C41" s="123" t="s">
        <v>57</v>
      </c>
      <c r="D41" s="124">
        <v>1</v>
      </c>
      <c r="E41" s="350">
        <f>H25</f>
        <v>539037.71789125982</v>
      </c>
      <c r="F41" s="297"/>
      <c r="G41" s="357"/>
      <c r="H41" s="348">
        <f>E41*D41</f>
        <v>539037.71789125982</v>
      </c>
    </row>
    <row r="42" spans="1:10" ht="19.95" customHeight="1" thickBot="1">
      <c r="A42" s="126"/>
      <c r="B42" s="126"/>
      <c r="C42" s="126"/>
      <c r="D42" s="126"/>
      <c r="E42" s="126"/>
      <c r="F42" s="126"/>
      <c r="G42" s="126"/>
      <c r="H42" s="126"/>
    </row>
    <row r="43" spans="1:10" ht="19.95" customHeight="1">
      <c r="A43" s="144" t="s">
        <v>79</v>
      </c>
      <c r="B43" s="535" t="s">
        <v>80</v>
      </c>
      <c r="C43" s="535"/>
      <c r="D43" s="535"/>
      <c r="E43" s="535"/>
      <c r="F43" s="536"/>
      <c r="G43" s="536"/>
      <c r="H43" s="537"/>
    </row>
    <row r="44" spans="1:10" ht="19.95" customHeight="1">
      <c r="A44" s="102" t="s">
        <v>12</v>
      </c>
      <c r="B44" s="103" t="s">
        <v>14</v>
      </c>
      <c r="C44" s="103" t="s">
        <v>15</v>
      </c>
      <c r="D44" s="103" t="s">
        <v>16</v>
      </c>
      <c r="E44" s="103" t="s">
        <v>97</v>
      </c>
      <c r="F44" s="294" t="s">
        <v>255</v>
      </c>
      <c r="G44" s="294" t="s">
        <v>257</v>
      </c>
      <c r="H44" s="104" t="s">
        <v>98</v>
      </c>
    </row>
    <row r="45" spans="1:10" ht="19.95" customHeight="1">
      <c r="A45" s="105"/>
      <c r="B45" s="35" t="str">
        <f>B43</f>
        <v>Relatório de Apoio na Análise da Monitoração da Sinalização Vertical</v>
      </c>
      <c r="C45" s="36"/>
      <c r="D45" s="106"/>
      <c r="E45" s="39"/>
      <c r="F45" s="295"/>
      <c r="G45" s="351"/>
      <c r="H45" s="345">
        <f>H57+H59</f>
        <v>540705.27235892299</v>
      </c>
    </row>
    <row r="46" spans="1:10" ht="19.95" customHeight="1">
      <c r="A46" s="105">
        <v>1</v>
      </c>
      <c r="B46" s="35" t="s">
        <v>106</v>
      </c>
      <c r="C46" s="36"/>
      <c r="D46" s="106"/>
      <c r="E46" s="39"/>
      <c r="F46" s="295"/>
      <c r="G46" s="351">
        <f>SUM(G47:G49)</f>
        <v>101962.32813029626</v>
      </c>
      <c r="H46" s="345">
        <f>SUM(H47:H49)</f>
        <v>109644.85276060351</v>
      </c>
    </row>
    <row r="47" spans="1:10" ht="19.95" customHeight="1">
      <c r="A47" s="32" t="s">
        <v>653</v>
      </c>
      <c r="B47" s="45" t="str">
        <f>CONCATENATE(VLOOKUP(A47,'Planilha base'!$C$11:$K$35,9,FALSE)," - Sinalização")</f>
        <v>Engenheiro de projetos pleno - Sinalização</v>
      </c>
      <c r="C47" s="48" t="s">
        <v>107</v>
      </c>
      <c r="D47" s="180">
        <f>(J47*$H$1)/$M$2</f>
        <v>102.98393</v>
      </c>
      <c r="E47" s="343">
        <f>VLOOKUP(A47,'Planilha base'!$C$11:$K$35,6,FALSE)/'Planilha base'!$H$38</f>
        <v>57.69094196942298</v>
      </c>
      <c r="F47" s="284">
        <f>VLOOKUP(A47,'Planilha base'!$C$11:$K$35,4,FALSE)</f>
        <v>0.87970000000000004</v>
      </c>
      <c r="G47" s="352">
        <f t="shared" ref="G47:G49" si="2">D47*E47*F47</f>
        <v>5226.5087659047203</v>
      </c>
      <c r="H47" s="346">
        <f>D47*E47</f>
        <v>5941.2399294131183</v>
      </c>
      <c r="J47" s="128">
        <v>36.61</v>
      </c>
    </row>
    <row r="48" spans="1:10" ht="19.95" customHeight="1">
      <c r="A48" s="32" t="s">
        <v>651</v>
      </c>
      <c r="B48" s="37" t="str">
        <f>VLOOKUP(A48,'Planilha base'!$C$11:$K$35,9,FALSE)</f>
        <v>Engenheiro de projetos júnior</v>
      </c>
      <c r="C48" s="48" t="s">
        <v>107</v>
      </c>
      <c r="D48" s="180">
        <f>((J48*$H$1)/$M$2+((NovaDutra!P7+Régis!W7+Transbrasiliana!P7+Transbrasiliana!P9)*8))</f>
        <v>1605.6505966666668</v>
      </c>
      <c r="E48" s="343">
        <f>VLOOKUP(A48,'Planilha base'!$C$11:$K$35,6,FALSE)/'Planilha base'!$H$38</f>
        <v>51.235684147076547</v>
      </c>
      <c r="F48" s="284">
        <f>VLOOKUP(A48,'Planilha base'!$C$11:$K$35,4,FALSE)</f>
        <v>0.89</v>
      </c>
      <c r="G48" s="352">
        <f t="shared" si="2"/>
        <v>73217.280071026733</v>
      </c>
      <c r="H48" s="346">
        <f>D48*E48</f>
        <v>82266.606821378344</v>
      </c>
      <c r="J48" s="128">
        <v>36.61</v>
      </c>
    </row>
    <row r="49" spans="1:10" ht="19.95" customHeight="1">
      <c r="A49" s="32" t="s">
        <v>719</v>
      </c>
      <c r="B49" s="37" t="str">
        <f>VLOOKUP(A49,'Planilha base'!$C$11:$K$35,9,FALSE)</f>
        <v>Técnico de obras</v>
      </c>
      <c r="C49" s="48" t="s">
        <v>107</v>
      </c>
      <c r="D49" s="180">
        <f>((J49*$H$1)/$M$2+((NovaDutra!P7+Régis!W7+Transbrasiliana!P7+Transbrasiliana!P9)*8))</f>
        <v>1605.6505966666668</v>
      </c>
      <c r="E49" s="343">
        <f>VLOOKUP(A49,'Planilha base'!$C$11:$K$35,6,FALSE)/'Planilha base'!$H$38</f>
        <v>13.350978135788262</v>
      </c>
      <c r="F49" s="284">
        <f>VLOOKUP(A49,'Planilha base'!$C$11:$K$35,4,FALSE)</f>
        <v>1.0971</v>
      </c>
      <c r="G49" s="352">
        <f t="shared" si="2"/>
        <v>23518.539293364793</v>
      </c>
      <c r="H49" s="346">
        <f>D49*E49</f>
        <v>21437.006009812045</v>
      </c>
      <c r="J49" s="128">
        <v>36.61</v>
      </c>
    </row>
    <row r="50" spans="1:10" ht="19.95" customHeight="1">
      <c r="A50" s="107"/>
      <c r="B50" s="45"/>
      <c r="C50" s="48"/>
      <c r="D50" s="29"/>
      <c r="E50" s="47"/>
      <c r="F50" s="255"/>
      <c r="G50" s="352"/>
      <c r="H50" s="346"/>
    </row>
    <row r="51" spans="1:10" ht="19.95" customHeight="1">
      <c r="A51" s="105">
        <v>2</v>
      </c>
      <c r="B51" s="35" t="s">
        <v>334</v>
      </c>
      <c r="C51" s="181"/>
      <c r="D51" s="40"/>
      <c r="E51" s="39"/>
      <c r="F51" s="295"/>
      <c r="G51" s="351"/>
      <c r="H51" s="345">
        <f>SUM(H52)</f>
        <v>24165.540057740753</v>
      </c>
    </row>
    <row r="52" spans="1:10" ht="19.95" customHeight="1">
      <c r="A52" s="32" t="s">
        <v>335</v>
      </c>
      <c r="B52" s="45" t="s">
        <v>334</v>
      </c>
      <c r="C52" s="47" t="s">
        <v>52</v>
      </c>
      <c r="D52" s="29">
        <f>H46+G46</f>
        <v>211607.18089089976</v>
      </c>
      <c r="E52" s="206">
        <f>'Planilha base'!$H$39</f>
        <v>0.1142</v>
      </c>
      <c r="F52" s="281"/>
      <c r="G52" s="352"/>
      <c r="H52" s="346">
        <f>D52*E52</f>
        <v>24165.540057740753</v>
      </c>
    </row>
    <row r="53" spans="1:10" ht="19.95" customHeight="1">
      <c r="A53" s="107"/>
      <c r="B53" s="45"/>
      <c r="C53" s="48"/>
      <c r="D53" s="29"/>
      <c r="E53" s="47"/>
      <c r="F53" s="255"/>
      <c r="G53" s="352"/>
      <c r="H53" s="346"/>
    </row>
    <row r="54" spans="1:10" ht="19.95" customHeight="1">
      <c r="A54" s="105">
        <v>3</v>
      </c>
      <c r="B54" s="30" t="s">
        <v>109</v>
      </c>
      <c r="C54" s="181"/>
      <c r="D54" s="40"/>
      <c r="E54" s="39"/>
      <c r="F54" s="295"/>
      <c r="G54" s="351"/>
      <c r="H54" s="345">
        <f>SUM(H55:H56)</f>
        <v>76744.020668782498</v>
      </c>
    </row>
    <row r="55" spans="1:10" s="116" customFormat="1" ht="19.95" customHeight="1">
      <c r="A55" s="32" t="s">
        <v>336</v>
      </c>
      <c r="B55" s="45" t="s">
        <v>67</v>
      </c>
      <c r="C55" s="47" t="s">
        <v>52</v>
      </c>
      <c r="D55" s="29">
        <f>H46+H51+G46</f>
        <v>235772.72094864052</v>
      </c>
      <c r="E55" s="206">
        <f>'Planilha base'!$H$40</f>
        <v>0.12</v>
      </c>
      <c r="F55" s="281"/>
      <c r="G55" s="352"/>
      <c r="H55" s="346">
        <f>D55*E55</f>
        <v>28292.72651383686</v>
      </c>
    </row>
    <row r="56" spans="1:10" s="116" customFormat="1" ht="19.95" customHeight="1">
      <c r="A56" s="32" t="s">
        <v>108</v>
      </c>
      <c r="B56" s="37" t="s">
        <v>68</v>
      </c>
      <c r="C56" s="47" t="s">
        <v>52</v>
      </c>
      <c r="D56" s="111">
        <f>H46+H51+G46</f>
        <v>235772.72094864052</v>
      </c>
      <c r="E56" s="206">
        <f>'Planilha base'!$H$41</f>
        <v>0.20550000000000002</v>
      </c>
      <c r="F56" s="281"/>
      <c r="G56" s="352"/>
      <c r="H56" s="346">
        <f>D56*E56</f>
        <v>48451.29415494563</v>
      </c>
    </row>
    <row r="57" spans="1:10" s="116" customFormat="1" ht="19.95" customHeight="1">
      <c r="A57" s="32"/>
      <c r="B57" s="37"/>
      <c r="C57" s="47"/>
      <c r="D57" s="111"/>
      <c r="E57" s="206"/>
      <c r="F57" s="281"/>
      <c r="G57" s="352"/>
      <c r="H57" s="345">
        <f>H54+H51+H46+G46</f>
        <v>312516.74161742302</v>
      </c>
    </row>
    <row r="58" spans="1:10" s="116" customFormat="1" ht="19.95" customHeight="1">
      <c r="A58" s="32"/>
      <c r="B58" s="37"/>
      <c r="C58" s="47"/>
      <c r="D58" s="111"/>
      <c r="E58" s="206"/>
      <c r="F58" s="281"/>
      <c r="G58" s="352"/>
      <c r="H58" s="346"/>
    </row>
    <row r="59" spans="1:10" s="116" customFormat="1" ht="19.95" customHeight="1">
      <c r="A59" s="117" t="s">
        <v>110</v>
      </c>
      <c r="B59" s="118" t="s">
        <v>19</v>
      </c>
      <c r="C59" s="119" t="s">
        <v>107</v>
      </c>
      <c r="D59" s="120">
        <f>SUM(D47:D49)</f>
        <v>3314.285123333334</v>
      </c>
      <c r="E59" s="349">
        <f>'Custo Gerencial LOTE 01'!$I$66</f>
        <v>68.849999999999994</v>
      </c>
      <c r="F59" s="296"/>
      <c r="G59" s="355"/>
      <c r="H59" s="347">
        <f>D59*E59</f>
        <v>228188.53074150003</v>
      </c>
    </row>
    <row r="60" spans="1:10" s="116" customFormat="1" ht="19.95" customHeight="1">
      <c r="A60" s="32"/>
      <c r="B60" s="37"/>
      <c r="C60" s="47"/>
      <c r="D60" s="111"/>
      <c r="E60" s="344"/>
      <c r="F60" s="254"/>
      <c r="G60" s="356"/>
      <c r="H60" s="346"/>
    </row>
    <row r="61" spans="1:10" s="116" customFormat="1" ht="19.95" customHeight="1" thickBot="1">
      <c r="A61" s="121"/>
      <c r="B61" s="122" t="s">
        <v>111</v>
      </c>
      <c r="C61" s="123" t="s">
        <v>57</v>
      </c>
      <c r="D61" s="124">
        <v>1</v>
      </c>
      <c r="E61" s="350">
        <f>H45</f>
        <v>540705.27235892299</v>
      </c>
      <c r="F61" s="297"/>
      <c r="G61" s="357"/>
      <c r="H61" s="348">
        <f>E61*D61</f>
        <v>540705.27235892299</v>
      </c>
    </row>
    <row r="62" spans="1:10" ht="19.95" customHeight="1" thickBot="1">
      <c r="A62" s="126"/>
      <c r="B62" s="126"/>
      <c r="C62" s="126"/>
      <c r="D62" s="126"/>
      <c r="E62" s="126"/>
      <c r="F62" s="126"/>
      <c r="G62" s="126"/>
      <c r="H62" s="126"/>
    </row>
    <row r="63" spans="1:10" ht="19.5" customHeight="1">
      <c r="A63" s="144" t="s">
        <v>81</v>
      </c>
      <c r="B63" s="535" t="s">
        <v>82</v>
      </c>
      <c r="C63" s="535"/>
      <c r="D63" s="535"/>
      <c r="E63" s="535"/>
      <c r="F63" s="536"/>
      <c r="G63" s="536"/>
      <c r="H63" s="537"/>
    </row>
    <row r="64" spans="1:10" ht="19.95" customHeight="1">
      <c r="A64" s="102" t="s">
        <v>12</v>
      </c>
      <c r="B64" s="103" t="s">
        <v>14</v>
      </c>
      <c r="C64" s="103" t="s">
        <v>15</v>
      </c>
      <c r="D64" s="103" t="s">
        <v>16</v>
      </c>
      <c r="E64" s="103" t="s">
        <v>97</v>
      </c>
      <c r="F64" s="294" t="s">
        <v>255</v>
      </c>
      <c r="G64" s="294" t="s">
        <v>257</v>
      </c>
      <c r="H64" s="104" t="s">
        <v>98</v>
      </c>
    </row>
    <row r="65" spans="1:10" ht="19.95" customHeight="1">
      <c r="A65" s="105"/>
      <c r="B65" s="35" t="str">
        <f>B63</f>
        <v>Relatório de Apoio na Análise da Monitoração das Obras de Arte Especial</v>
      </c>
      <c r="C65" s="36"/>
      <c r="D65" s="106"/>
      <c r="E65" s="39"/>
      <c r="F65" s="295"/>
      <c r="G65" s="351"/>
      <c r="H65" s="345">
        <f>H79+H77</f>
        <v>413537.04187863128</v>
      </c>
    </row>
    <row r="66" spans="1:10" ht="19.95" customHeight="1">
      <c r="A66" s="105">
        <v>1</v>
      </c>
      <c r="B66" s="35" t="s">
        <v>106</v>
      </c>
      <c r="C66" s="36"/>
      <c r="D66" s="106"/>
      <c r="E66" s="39"/>
      <c r="F66" s="295"/>
      <c r="G66" s="351">
        <f>SUM(G67:G69)</f>
        <v>82201.721497324557</v>
      </c>
      <c r="H66" s="345">
        <f>SUM(H67:H69)</f>
        <v>90322.151398731439</v>
      </c>
    </row>
    <row r="67" spans="1:10" ht="19.95" customHeight="1">
      <c r="A67" s="32" t="s">
        <v>655</v>
      </c>
      <c r="B67" s="37" t="str">
        <f>CONCATENATE(VLOOKUP(A67,'Planilha base'!$C$11:$K$35,9,FALSE)," - Obra de Arte Especial")</f>
        <v>Engenheiro de projetos sênior - Obra de Arte Especial</v>
      </c>
      <c r="C67" s="36" t="s">
        <v>107</v>
      </c>
      <c r="D67" s="179">
        <f>(J67*$H$1)/$M$2</f>
        <v>167.34537</v>
      </c>
      <c r="E67" s="343">
        <f>VLOOKUP(A67,'Planilha base'!$C$11:$K$35,6,FALSE)/'Planilha base'!$H$38</f>
        <v>76.099786289659704</v>
      </c>
      <c r="F67" s="284">
        <f>VLOOKUP(A67,'Planilha base'!$C$11:$K$35,4,FALSE)</f>
        <v>0.86</v>
      </c>
      <c r="G67" s="352">
        <f t="shared" ref="G67:G69" si="3">D67*E67*F67</f>
        <v>10952.054328465067</v>
      </c>
      <c r="H67" s="346">
        <f>D67*E67</f>
        <v>12734.946893564031</v>
      </c>
      <c r="J67" s="128">
        <v>59.49</v>
      </c>
    </row>
    <row r="68" spans="1:10" ht="19.95" customHeight="1">
      <c r="A68" s="32" t="s">
        <v>653</v>
      </c>
      <c r="B68" s="37" t="str">
        <f>VLOOKUP(A68,'Planilha base'!$C$11:$K$35,9,FALSE)</f>
        <v>Engenheiro de projetos pleno</v>
      </c>
      <c r="C68" s="36" t="s">
        <v>107</v>
      </c>
      <c r="D68" s="179">
        <f>((J68*$H$1)/$M$2+((NovaDutra!P8+Régis!W8+Transbrasiliana!P10)*8))</f>
        <v>1105.9833333333333</v>
      </c>
      <c r="E68" s="343">
        <f>VLOOKUP(A68,'Planilha base'!$C$11:$K$35,6,FALSE)/'Planilha base'!$H$38</f>
        <v>57.69094196942298</v>
      </c>
      <c r="F68" s="284">
        <f>VLOOKUP(A68,'Planilha base'!$C$11:$K$35,4,FALSE)</f>
        <v>0.87970000000000004</v>
      </c>
      <c r="G68" s="352">
        <f t="shared" si="3"/>
        <v>56129.452300093704</v>
      </c>
      <c r="H68" s="346">
        <f>D68*E68</f>
        <v>63805.220302482325</v>
      </c>
      <c r="J68" s="128">
        <v>50</v>
      </c>
    </row>
    <row r="69" spans="1:10" ht="19.95" customHeight="1">
      <c r="A69" s="32" t="s">
        <v>719</v>
      </c>
      <c r="B69" s="37" t="str">
        <f>VLOOKUP(A69,'Planilha base'!$C$11:$K$35,9,FALSE)</f>
        <v>Técnico de obras</v>
      </c>
      <c r="C69" s="36" t="s">
        <v>107</v>
      </c>
      <c r="D69" s="179">
        <f>((J69*$H$1)/$M$2+((NovaDutra!P8+Régis!W8+Transbrasiliana!P10)*8))</f>
        <v>1032.2827333333332</v>
      </c>
      <c r="E69" s="343">
        <f>VLOOKUP(A69,'Planilha base'!$C$11:$K$35,6,FALSE)/'Planilha base'!$H$38</f>
        <v>13.350978135788262</v>
      </c>
      <c r="F69" s="284">
        <f>VLOOKUP(A69,'Planilha base'!$C$11:$K$35,4,FALSE)</f>
        <v>1.0971</v>
      </c>
      <c r="G69" s="352">
        <f t="shared" si="3"/>
        <v>15120.214868765797</v>
      </c>
      <c r="H69" s="346">
        <f>D69*E69</f>
        <v>13781.984202685077</v>
      </c>
      <c r="J69" s="128">
        <v>23.8</v>
      </c>
    </row>
    <row r="70" spans="1:10" ht="19.95" customHeight="1">
      <c r="A70" s="107"/>
      <c r="B70" s="37"/>
      <c r="C70" s="36"/>
      <c r="D70" s="111"/>
      <c r="E70" s="47"/>
      <c r="F70" s="255"/>
      <c r="G70" s="352"/>
      <c r="H70" s="346"/>
    </row>
    <row r="71" spans="1:10" ht="19.95" customHeight="1">
      <c r="A71" s="105">
        <v>2</v>
      </c>
      <c r="B71" s="35" t="s">
        <v>334</v>
      </c>
      <c r="C71" s="113"/>
      <c r="D71" s="106"/>
      <c r="E71" s="39"/>
      <c r="F71" s="295"/>
      <c r="G71" s="351"/>
      <c r="H71" s="345">
        <f>SUM(H72)</f>
        <v>19702.226284729593</v>
      </c>
    </row>
    <row r="72" spans="1:10" s="116" customFormat="1" ht="19.95" customHeight="1">
      <c r="A72" s="32" t="s">
        <v>335</v>
      </c>
      <c r="B72" s="45" t="s">
        <v>334</v>
      </c>
      <c r="C72" s="47" t="s">
        <v>52</v>
      </c>
      <c r="D72" s="111">
        <f>H66+G66</f>
        <v>172523.87289605598</v>
      </c>
      <c r="E72" s="206">
        <f>'Planilha base'!$H$39</f>
        <v>0.1142</v>
      </c>
      <c r="F72" s="281"/>
      <c r="G72" s="352"/>
      <c r="H72" s="346">
        <f>D72*E72</f>
        <v>19702.226284729593</v>
      </c>
    </row>
    <row r="73" spans="1:10" s="116" customFormat="1" ht="19.95" customHeight="1">
      <c r="A73" s="32"/>
      <c r="B73" s="37"/>
      <c r="C73" s="47"/>
      <c r="D73" s="111"/>
      <c r="E73" s="206"/>
      <c r="F73" s="281"/>
      <c r="G73" s="352"/>
      <c r="H73" s="346"/>
    </row>
    <row r="74" spans="1:10" ht="19.95" customHeight="1">
      <c r="A74" s="105">
        <v>3</v>
      </c>
      <c r="B74" s="35" t="s">
        <v>109</v>
      </c>
      <c r="C74" s="113"/>
      <c r="D74" s="106"/>
      <c r="E74" s="39"/>
      <c r="F74" s="295"/>
      <c r="G74" s="351"/>
      <c r="H74" s="345">
        <f>SUM(H75:H76)</f>
        <v>62569.595283345712</v>
      </c>
    </row>
    <row r="75" spans="1:10" s="116" customFormat="1" ht="19.95" customHeight="1">
      <c r="A75" s="32" t="s">
        <v>336</v>
      </c>
      <c r="B75" s="37" t="s">
        <v>67</v>
      </c>
      <c r="C75" s="47" t="s">
        <v>52</v>
      </c>
      <c r="D75" s="111">
        <f>H66+H71+G66</f>
        <v>192226.09918078559</v>
      </c>
      <c r="E75" s="206">
        <f>'Planilha base'!$H$40</f>
        <v>0.12</v>
      </c>
      <c r="F75" s="281"/>
      <c r="G75" s="352"/>
      <c r="H75" s="346">
        <f>D75*E75</f>
        <v>23067.131901694269</v>
      </c>
    </row>
    <row r="76" spans="1:10" s="116" customFormat="1" ht="19.95" customHeight="1">
      <c r="A76" s="32" t="s">
        <v>108</v>
      </c>
      <c r="B76" s="37" t="s">
        <v>68</v>
      </c>
      <c r="C76" s="47" t="s">
        <v>52</v>
      </c>
      <c r="D76" s="111">
        <f>H66+H71+G66</f>
        <v>192226.09918078559</v>
      </c>
      <c r="E76" s="206">
        <f>'Planilha base'!$H$41</f>
        <v>0.20550000000000002</v>
      </c>
      <c r="F76" s="281"/>
      <c r="G76" s="352"/>
      <c r="H76" s="346">
        <f>D76*E76</f>
        <v>39502.46338165144</v>
      </c>
    </row>
    <row r="77" spans="1:10" s="116" customFormat="1" ht="19.95" customHeight="1">
      <c r="A77" s="32"/>
      <c r="B77" s="37"/>
      <c r="C77" s="47"/>
      <c r="D77" s="111"/>
      <c r="E77" s="115"/>
      <c r="F77" s="254"/>
      <c r="G77" s="356"/>
      <c r="H77" s="345">
        <f>H74+H71+H66+G66</f>
        <v>254795.69446413129</v>
      </c>
    </row>
    <row r="78" spans="1:10" s="116" customFormat="1" ht="19.95" customHeight="1">
      <c r="A78" s="32"/>
      <c r="B78" s="37"/>
      <c r="C78" s="47"/>
      <c r="D78" s="111"/>
      <c r="E78" s="115"/>
      <c r="F78" s="254"/>
      <c r="G78" s="356"/>
      <c r="H78" s="346"/>
    </row>
    <row r="79" spans="1:10" s="116" customFormat="1" ht="19.95" customHeight="1">
      <c r="A79" s="117" t="s">
        <v>110</v>
      </c>
      <c r="B79" s="118" t="s">
        <v>19</v>
      </c>
      <c r="C79" s="119" t="s">
        <v>107</v>
      </c>
      <c r="D79" s="120">
        <f>SUM(D67:D69)</f>
        <v>2305.6114366666666</v>
      </c>
      <c r="E79" s="349">
        <f>'Custo Gerencial LOTE 01'!$I$66</f>
        <v>68.849999999999994</v>
      </c>
      <c r="F79" s="296"/>
      <c r="G79" s="355"/>
      <c r="H79" s="347">
        <f>D79*E79</f>
        <v>158741.34741449999</v>
      </c>
    </row>
    <row r="80" spans="1:10" s="116" customFormat="1" ht="19.95" customHeight="1">
      <c r="A80" s="32"/>
      <c r="B80" s="37"/>
      <c r="C80" s="47"/>
      <c r="D80" s="111"/>
      <c r="E80" s="344"/>
      <c r="F80" s="254"/>
      <c r="G80" s="356"/>
      <c r="H80" s="346"/>
    </row>
    <row r="81" spans="1:10" s="116" customFormat="1" ht="19.95" customHeight="1" thickBot="1">
      <c r="A81" s="121"/>
      <c r="B81" s="122" t="s">
        <v>111</v>
      </c>
      <c r="C81" s="123" t="s">
        <v>57</v>
      </c>
      <c r="D81" s="124">
        <v>1</v>
      </c>
      <c r="E81" s="350">
        <f>H65</f>
        <v>413537.04187863128</v>
      </c>
      <c r="F81" s="297"/>
      <c r="G81" s="357"/>
      <c r="H81" s="348">
        <f>E81*D81</f>
        <v>413537.04187863128</v>
      </c>
    </row>
    <row r="82" spans="1:10" ht="19.95" customHeight="1" thickBot="1">
      <c r="A82" s="126"/>
      <c r="B82" s="126"/>
      <c r="C82" s="126"/>
      <c r="D82" s="126"/>
      <c r="E82" s="126"/>
      <c r="F82" s="126"/>
      <c r="G82" s="126"/>
      <c r="H82" s="126"/>
    </row>
    <row r="83" spans="1:10" ht="19.95" customHeight="1">
      <c r="A83" s="144" t="s">
        <v>83</v>
      </c>
      <c r="B83" s="535" t="s">
        <v>84</v>
      </c>
      <c r="C83" s="535"/>
      <c r="D83" s="535"/>
      <c r="E83" s="535"/>
      <c r="F83" s="536"/>
      <c r="G83" s="536"/>
      <c r="H83" s="537"/>
    </row>
    <row r="84" spans="1:10" ht="19.95" customHeight="1">
      <c r="A84" s="102" t="s">
        <v>12</v>
      </c>
      <c r="B84" s="103" t="s">
        <v>14</v>
      </c>
      <c r="C84" s="103" t="s">
        <v>15</v>
      </c>
      <c r="D84" s="103" t="s">
        <v>16</v>
      </c>
      <c r="E84" s="103" t="s">
        <v>97</v>
      </c>
      <c r="F84" s="294" t="s">
        <v>255</v>
      </c>
      <c r="G84" s="294" t="s">
        <v>257</v>
      </c>
      <c r="H84" s="104" t="s">
        <v>98</v>
      </c>
    </row>
    <row r="85" spans="1:10" ht="19.95" customHeight="1">
      <c r="A85" s="105"/>
      <c r="B85" s="35" t="str">
        <f>B83</f>
        <v>Relatório de Apoio na Análise da Monitoração dos Terraplenos e Estruturas de Contenção</v>
      </c>
      <c r="C85" s="36"/>
      <c r="D85" s="106"/>
      <c r="E85" s="39"/>
      <c r="F85" s="295"/>
      <c r="G85" s="351"/>
      <c r="H85" s="345">
        <f>H97+H99</f>
        <v>416032.22029222129</v>
      </c>
    </row>
    <row r="86" spans="1:10" ht="19.95" customHeight="1">
      <c r="A86" s="105">
        <v>1</v>
      </c>
      <c r="B86" s="35" t="s">
        <v>106</v>
      </c>
      <c r="C86" s="36"/>
      <c r="D86" s="106"/>
      <c r="E86" s="39"/>
      <c r="F86" s="295"/>
      <c r="G86" s="351">
        <f>SUM(G87:G89)</f>
        <v>82858.951272076782</v>
      </c>
      <c r="H86" s="345">
        <f>SUM(H87:H89)</f>
        <v>91104.45195913146</v>
      </c>
    </row>
    <row r="87" spans="1:10" ht="19.95" customHeight="1">
      <c r="A87" s="32" t="s">
        <v>655</v>
      </c>
      <c r="B87" s="37" t="str">
        <f>CONCATENATE(VLOOKUP(A87,'Planilha base'!$C$11:$K$35,9,FALSE)," - Infraestrutura ou Obra de Arte Especial")</f>
        <v>Engenheiro de projetos sênior - Infraestrutura ou Obra de Arte Especial</v>
      </c>
      <c r="C87" s="36" t="s">
        <v>107</v>
      </c>
      <c r="D87" s="179">
        <f>(J87*$H$1)/$M$2</f>
        <v>167.34537</v>
      </c>
      <c r="E87" s="343">
        <f>VLOOKUP(A87,'Planilha base'!$C$11:$K$35,6,FALSE)/'Planilha base'!$H$38</f>
        <v>76.099786289659704</v>
      </c>
      <c r="F87" s="284">
        <f>VLOOKUP(A87,'Planilha base'!$C$11:$K$35,4,FALSE)</f>
        <v>0.86</v>
      </c>
      <c r="G87" s="352">
        <f t="shared" ref="G87:G89" si="4">D87*E87*F87</f>
        <v>10952.054328465067</v>
      </c>
      <c r="H87" s="346">
        <f>D87*E87</f>
        <v>12734.946893564031</v>
      </c>
      <c r="J87" s="128">
        <v>59.49</v>
      </c>
    </row>
    <row r="88" spans="1:10" ht="19.95" customHeight="1">
      <c r="A88" s="32" t="s">
        <v>653</v>
      </c>
      <c r="B88" s="37" t="str">
        <f>VLOOKUP(A88,'Planilha base'!$C$11:$K$35,9,FALSE)</f>
        <v>Engenheiro de projetos pleno</v>
      </c>
      <c r="C88" s="36" t="s">
        <v>107</v>
      </c>
      <c r="D88" s="179">
        <f>((J88*$H$1)/$M$2+((NovaDutra!P9+Régis!W9+Transbrasiliana!P11)*8))</f>
        <v>1122.0120366666667</v>
      </c>
      <c r="E88" s="343">
        <f>VLOOKUP(A88,'Planilha base'!$C$11:$K$35,6,FALSE)/'Planilha base'!$H$38</f>
        <v>57.69094196942298</v>
      </c>
      <c r="F88" s="284">
        <f>VLOOKUP(A88,'Planilha base'!$C$11:$K$35,4,FALSE)</f>
        <v>0.87970000000000004</v>
      </c>
      <c r="G88" s="352">
        <f t="shared" si="4"/>
        <v>56942.920561382169</v>
      </c>
      <c r="H88" s="346">
        <f>D88*E88</f>
        <v>64729.93129633076</v>
      </c>
      <c r="J88" s="128">
        <v>59.49</v>
      </c>
    </row>
    <row r="89" spans="1:10" ht="19.95" customHeight="1">
      <c r="A89" s="32" t="s">
        <v>719</v>
      </c>
      <c r="B89" s="37" t="str">
        <f>VLOOKUP(A89,'Planilha base'!$C$11:$K$35,9,FALSE)</f>
        <v>Técnico de obras</v>
      </c>
      <c r="C89" s="36" t="s">
        <v>107</v>
      </c>
      <c r="D89" s="179">
        <f>((J89*$H$1)/$M$2+((NovaDutra!P9+Régis!W9+Transbrasiliana!P11)*8))</f>
        <v>1021.6160666666667</v>
      </c>
      <c r="E89" s="343">
        <f>VLOOKUP(A89,'Planilha base'!$C$11:$K$35,6,FALSE)/'Planilha base'!$H$38</f>
        <v>13.350978135788262</v>
      </c>
      <c r="F89" s="284">
        <f>VLOOKUP(A89,'Planilha base'!$C$11:$K$35,4,FALSE)</f>
        <v>1.0971</v>
      </c>
      <c r="G89" s="352">
        <f t="shared" si="4"/>
        <v>14963.976382229552</v>
      </c>
      <c r="H89" s="346">
        <f>D89*E89</f>
        <v>13639.573769236671</v>
      </c>
      <c r="J89" s="128">
        <v>23.8</v>
      </c>
    </row>
    <row r="90" spans="1:10" ht="19.95" customHeight="1">
      <c r="A90" s="107"/>
      <c r="B90" s="37"/>
      <c r="C90" s="36"/>
      <c r="D90" s="111"/>
      <c r="E90" s="47"/>
      <c r="F90" s="255"/>
      <c r="G90" s="352"/>
      <c r="H90" s="346"/>
    </row>
    <row r="91" spans="1:10" ht="19.95" customHeight="1">
      <c r="A91" s="105">
        <v>2</v>
      </c>
      <c r="B91" s="35" t="s">
        <v>334</v>
      </c>
      <c r="C91" s="113"/>
      <c r="D91" s="106"/>
      <c r="E91" s="39"/>
      <c r="F91" s="295"/>
      <c r="G91" s="351"/>
      <c r="H91" s="345">
        <f>SUM(H92)</f>
        <v>19866.62064900398</v>
      </c>
    </row>
    <row r="92" spans="1:10" s="116" customFormat="1" ht="19.95" customHeight="1">
      <c r="A92" s="32" t="s">
        <v>335</v>
      </c>
      <c r="B92" s="45" t="s">
        <v>334</v>
      </c>
      <c r="C92" s="47" t="s">
        <v>52</v>
      </c>
      <c r="D92" s="111">
        <f>H86+G86</f>
        <v>173963.40323120824</v>
      </c>
      <c r="E92" s="206">
        <f>'Planilha base'!$H$39</f>
        <v>0.1142</v>
      </c>
      <c r="F92" s="281"/>
      <c r="G92" s="352"/>
      <c r="H92" s="346">
        <f>D92*E92</f>
        <v>19866.62064900398</v>
      </c>
    </row>
    <row r="93" spans="1:10" s="116" customFormat="1" ht="19.95" customHeight="1">
      <c r="A93" s="32"/>
      <c r="B93" s="37"/>
      <c r="C93" s="47"/>
      <c r="D93" s="111"/>
      <c r="E93" s="206"/>
      <c r="F93" s="281"/>
      <c r="G93" s="352"/>
      <c r="H93" s="346"/>
    </row>
    <row r="94" spans="1:10" ht="19.95" customHeight="1">
      <c r="A94" s="105">
        <v>3</v>
      </c>
      <c r="B94" s="35" t="s">
        <v>109</v>
      </c>
      <c r="C94" s="113"/>
      <c r="D94" s="106"/>
      <c r="E94" s="39"/>
      <c r="F94" s="295"/>
      <c r="G94" s="351"/>
      <c r="H94" s="345">
        <f>SUM(H95:H96)</f>
        <v>63091.672773009079</v>
      </c>
    </row>
    <row r="95" spans="1:10" s="116" customFormat="1" ht="19.95" customHeight="1">
      <c r="A95" s="32" t="s">
        <v>336</v>
      </c>
      <c r="B95" s="37" t="s">
        <v>67</v>
      </c>
      <c r="C95" s="47" t="s">
        <v>52</v>
      </c>
      <c r="D95" s="111">
        <f>H86+H91+G86</f>
        <v>193830.02388021222</v>
      </c>
      <c r="E95" s="206">
        <f>'Planilha base'!$H$40</f>
        <v>0.12</v>
      </c>
      <c r="F95" s="281"/>
      <c r="G95" s="352"/>
      <c r="H95" s="346">
        <f>D95*E95</f>
        <v>23259.602865625464</v>
      </c>
    </row>
    <row r="96" spans="1:10" s="116" customFormat="1" ht="19.95" customHeight="1">
      <c r="A96" s="32" t="s">
        <v>108</v>
      </c>
      <c r="B96" s="37" t="s">
        <v>68</v>
      </c>
      <c r="C96" s="47" t="s">
        <v>52</v>
      </c>
      <c r="D96" s="111">
        <f>H86+H91+G86</f>
        <v>193830.02388021222</v>
      </c>
      <c r="E96" s="206">
        <f>'Planilha base'!$H$41</f>
        <v>0.20550000000000002</v>
      </c>
      <c r="F96" s="281"/>
      <c r="G96" s="352"/>
      <c r="H96" s="346">
        <f>D96*E96</f>
        <v>39832.069907383615</v>
      </c>
    </row>
    <row r="97" spans="1:10" s="116" customFormat="1" ht="19.95" customHeight="1">
      <c r="A97" s="32"/>
      <c r="B97" s="37"/>
      <c r="C97" s="47"/>
      <c r="D97" s="111"/>
      <c r="E97" s="206"/>
      <c r="F97" s="281"/>
      <c r="G97" s="352"/>
      <c r="H97" s="345">
        <f>H94+H91+H86+G86</f>
        <v>256921.6966532213</v>
      </c>
    </row>
    <row r="98" spans="1:10" s="116" customFormat="1" ht="19.95" customHeight="1">
      <c r="A98" s="32"/>
      <c r="B98" s="37"/>
      <c r="C98" s="47"/>
      <c r="D98" s="111"/>
      <c r="E98" s="206"/>
      <c r="F98" s="281"/>
      <c r="G98" s="352"/>
      <c r="H98" s="346"/>
    </row>
    <row r="99" spans="1:10" s="116" customFormat="1" ht="19.95" customHeight="1">
      <c r="A99" s="117" t="s">
        <v>110</v>
      </c>
      <c r="B99" s="118" t="s">
        <v>19</v>
      </c>
      <c r="C99" s="119" t="s">
        <v>107</v>
      </c>
      <c r="D99" s="120">
        <f>SUM(D87:D89)</f>
        <v>2310.9734733333335</v>
      </c>
      <c r="E99" s="349">
        <f>'Custo Gerencial LOTE 01'!$I$66</f>
        <v>68.849999999999994</v>
      </c>
      <c r="F99" s="296"/>
      <c r="G99" s="355"/>
      <c r="H99" s="347">
        <f>D99*E99</f>
        <v>159110.52363899999</v>
      </c>
    </row>
    <row r="100" spans="1:10" s="116" customFormat="1" ht="19.95" customHeight="1">
      <c r="A100" s="32"/>
      <c r="B100" s="37"/>
      <c r="C100" s="47"/>
      <c r="D100" s="111"/>
      <c r="E100" s="344"/>
      <c r="F100" s="254"/>
      <c r="G100" s="356"/>
      <c r="H100" s="346"/>
    </row>
    <row r="101" spans="1:10" s="116" customFormat="1" ht="19.95" customHeight="1" thickBot="1">
      <c r="A101" s="121"/>
      <c r="B101" s="122" t="s">
        <v>111</v>
      </c>
      <c r="C101" s="123" t="s">
        <v>57</v>
      </c>
      <c r="D101" s="124">
        <v>1</v>
      </c>
      <c r="E101" s="350">
        <f>H85</f>
        <v>416032.22029222129</v>
      </c>
      <c r="F101" s="297"/>
      <c r="G101" s="357"/>
      <c r="H101" s="348">
        <f>E101*D101</f>
        <v>416032.22029222129</v>
      </c>
    </row>
    <row r="102" spans="1:10" ht="19.95" customHeight="1" thickBot="1">
      <c r="A102" s="126"/>
      <c r="B102" s="126"/>
      <c r="C102" s="126"/>
      <c r="D102" s="126"/>
      <c r="E102" s="126"/>
      <c r="F102" s="126"/>
      <c r="G102" s="126"/>
      <c r="H102" s="126"/>
    </row>
    <row r="103" spans="1:10" ht="19.95" customHeight="1">
      <c r="A103" s="144" t="s">
        <v>85</v>
      </c>
      <c r="B103" s="535" t="s">
        <v>86</v>
      </c>
      <c r="C103" s="535"/>
      <c r="D103" s="535"/>
      <c r="E103" s="535"/>
      <c r="F103" s="536"/>
      <c r="G103" s="536"/>
      <c r="H103" s="537"/>
    </row>
    <row r="104" spans="1:10" ht="19.95" customHeight="1">
      <c r="A104" s="102" t="s">
        <v>12</v>
      </c>
      <c r="B104" s="103" t="s">
        <v>14</v>
      </c>
      <c r="C104" s="103" t="s">
        <v>15</v>
      </c>
      <c r="D104" s="103" t="s">
        <v>16</v>
      </c>
      <c r="E104" s="103" t="s">
        <v>97</v>
      </c>
      <c r="F104" s="294" t="s">
        <v>255</v>
      </c>
      <c r="G104" s="294" t="s">
        <v>257</v>
      </c>
      <c r="H104" s="104" t="s">
        <v>98</v>
      </c>
    </row>
    <row r="105" spans="1:10" ht="19.95" customHeight="1">
      <c r="A105" s="105"/>
      <c r="B105" s="35" t="str">
        <f>B103</f>
        <v>Relatório de Apoio no Acompanhamento da Conservação, Manutenção, Operação e Obras</v>
      </c>
      <c r="C105" s="36"/>
      <c r="D105" s="106"/>
      <c r="E105" s="39"/>
      <c r="F105" s="295"/>
      <c r="G105" s="351"/>
      <c r="H105" s="345">
        <f>H118+H120</f>
        <v>288934.54787088773</v>
      </c>
      <c r="J105" s="133"/>
    </row>
    <row r="106" spans="1:10" ht="19.95" customHeight="1">
      <c r="A106" s="105">
        <v>1</v>
      </c>
      <c r="B106" s="35" t="s">
        <v>106</v>
      </c>
      <c r="C106" s="36"/>
      <c r="D106" s="106"/>
      <c r="E106" s="39"/>
      <c r="F106" s="295"/>
      <c r="G106" s="351">
        <f>SUM(G107:G110)</f>
        <v>56861.191721999996</v>
      </c>
      <c r="H106" s="345">
        <f>SUM(H107:H110)</f>
        <v>62211.15</v>
      </c>
    </row>
    <row r="107" spans="1:10" ht="19.95" customHeight="1">
      <c r="A107" s="32" t="s">
        <v>655</v>
      </c>
      <c r="B107" s="37" t="str">
        <f>VLOOKUP(A107,'Planilha base'!$C$11:$K$35,9,FALSE)</f>
        <v>Engenheiro de projetos sênior</v>
      </c>
      <c r="C107" s="36" t="s">
        <v>107</v>
      </c>
      <c r="D107" s="179">
        <f>J107</f>
        <v>182.49</v>
      </c>
      <c r="E107" s="343">
        <f>VLOOKUP(A107,'Planilha base'!$C$11:$K$35,6,FALSE)/'Planilha base'!$H$38</f>
        <v>76.099786289659704</v>
      </c>
      <c r="F107" s="284">
        <f>VLOOKUP(A107,'Planilha base'!$C$11:$K$35,4,FALSE)</f>
        <v>0.86</v>
      </c>
      <c r="G107" s="352">
        <f t="shared" ref="G107:G110" si="5">D107*E107*F107</f>
        <v>11943.207</v>
      </c>
      <c r="H107" s="346">
        <f>D107*E107</f>
        <v>13887.45</v>
      </c>
      <c r="J107" s="128">
        <f>'Planilha base'!$H$38</f>
        <v>182.49</v>
      </c>
    </row>
    <row r="108" spans="1:10" ht="19.95" customHeight="1">
      <c r="A108" s="32" t="s">
        <v>653</v>
      </c>
      <c r="B108" s="37" t="str">
        <f>VLOOKUP(A108,'Planilha base'!$C$11:$K$35,9,FALSE)</f>
        <v>Engenheiro de projetos pleno</v>
      </c>
      <c r="C108" s="36" t="s">
        <v>107</v>
      </c>
      <c r="D108" s="179">
        <f t="shared" ref="D108:D110" si="6">J108</f>
        <v>182.49</v>
      </c>
      <c r="E108" s="343">
        <f>VLOOKUP(A108,'Planilha base'!$C$11:$K$35,6,FALSE)/'Planilha base'!$H$38</f>
        <v>57.69094196942298</v>
      </c>
      <c r="F108" s="284">
        <f>VLOOKUP(A108,'Planilha base'!$C$11:$K$35,4,FALSE)</f>
        <v>0.87970000000000004</v>
      </c>
      <c r="G108" s="352">
        <f t="shared" si="5"/>
        <v>9261.499194</v>
      </c>
      <c r="H108" s="346">
        <f>D108*E108</f>
        <v>10528.02</v>
      </c>
      <c r="J108" s="128">
        <f>'Planilha base'!$H$38</f>
        <v>182.49</v>
      </c>
    </row>
    <row r="109" spans="1:10" ht="19.95" customHeight="1">
      <c r="A109" s="32" t="s">
        <v>651</v>
      </c>
      <c r="B109" s="37" t="str">
        <f>VLOOKUP(A109,'Planilha base'!$C$11:$K$35,9,FALSE)</f>
        <v>Engenheiro de projetos júnior</v>
      </c>
      <c r="C109" s="36" t="s">
        <v>107</v>
      </c>
      <c r="D109" s="179">
        <f t="shared" si="6"/>
        <v>547.47</v>
      </c>
      <c r="E109" s="343">
        <f>VLOOKUP(A109,'Planilha base'!$C$11:$K$35,6,FALSE)/'Planilha base'!$H$38</f>
        <v>51.235684147076547</v>
      </c>
      <c r="F109" s="284">
        <f>VLOOKUP(A109,'Planilha base'!$C$11:$K$35,4,FALSE)</f>
        <v>0.89</v>
      </c>
      <c r="G109" s="352">
        <f t="shared" si="5"/>
        <v>24964.5</v>
      </c>
      <c r="H109" s="346">
        <f>D109*E109</f>
        <v>28050</v>
      </c>
      <c r="J109" s="128">
        <f>'Planilha base'!$H$38*3</f>
        <v>547.47</v>
      </c>
    </row>
    <row r="110" spans="1:10" ht="19.95" customHeight="1">
      <c r="A110" s="32" t="s">
        <v>719</v>
      </c>
      <c r="B110" s="37" t="str">
        <f>VLOOKUP(A110,'Planilha base'!$C$11:$K$35,9,FALSE)</f>
        <v>Técnico de obras</v>
      </c>
      <c r="C110" s="36" t="s">
        <v>107</v>
      </c>
      <c r="D110" s="179">
        <f t="shared" si="6"/>
        <v>729.96</v>
      </c>
      <c r="E110" s="343">
        <f>VLOOKUP(A110,'Planilha base'!$C$11:$K$35,6,FALSE)/'Planilha base'!$H$38</f>
        <v>13.350978135788262</v>
      </c>
      <c r="F110" s="284">
        <f>VLOOKUP(A110,'Planilha base'!$C$11:$K$35,4,FALSE)</f>
        <v>1.0971</v>
      </c>
      <c r="G110" s="352">
        <f t="shared" si="5"/>
        <v>10691.985527999999</v>
      </c>
      <c r="H110" s="346">
        <f>D110*E110</f>
        <v>9745.68</v>
      </c>
      <c r="J110" s="128">
        <f>'Planilha base'!$H$38*4</f>
        <v>729.96</v>
      </c>
    </row>
    <row r="111" spans="1:10" ht="19.95" customHeight="1">
      <c r="A111" s="107"/>
      <c r="B111" s="37"/>
      <c r="C111" s="36"/>
      <c r="D111" s="111"/>
      <c r="E111" s="47"/>
      <c r="F111" s="255"/>
      <c r="G111" s="352"/>
      <c r="H111" s="346"/>
    </row>
    <row r="112" spans="1:10" ht="19.95" customHeight="1">
      <c r="A112" s="105">
        <v>2</v>
      </c>
      <c r="B112" s="35" t="s">
        <v>334</v>
      </c>
      <c r="C112" s="113"/>
      <c r="D112" s="106"/>
      <c r="E112" s="39"/>
      <c r="F112" s="295"/>
      <c r="G112" s="351"/>
      <c r="H112" s="345">
        <f>SUM(H113)</f>
        <v>13598.0614246524</v>
      </c>
    </row>
    <row r="113" spans="1:11" s="116" customFormat="1" ht="19.95" customHeight="1">
      <c r="A113" s="32" t="s">
        <v>335</v>
      </c>
      <c r="B113" s="45" t="s">
        <v>334</v>
      </c>
      <c r="C113" s="47" t="s">
        <v>52</v>
      </c>
      <c r="D113" s="111">
        <f>H106+G106</f>
        <v>119072.341722</v>
      </c>
      <c r="E113" s="206">
        <f>'Planilha base'!$H$39</f>
        <v>0.1142</v>
      </c>
      <c r="F113" s="281"/>
      <c r="G113" s="352"/>
      <c r="H113" s="346">
        <f>D113*E113</f>
        <v>13598.0614246524</v>
      </c>
    </row>
    <row r="114" spans="1:11" s="116" customFormat="1" ht="19.95" customHeight="1">
      <c r="A114" s="32"/>
      <c r="B114" s="37"/>
      <c r="C114" s="47"/>
      <c r="D114" s="111"/>
      <c r="E114" s="206"/>
      <c r="F114" s="281"/>
      <c r="G114" s="352"/>
      <c r="H114" s="346"/>
    </row>
    <row r="115" spans="1:11" ht="19.95" customHeight="1">
      <c r="A115" s="105">
        <v>3</v>
      </c>
      <c r="B115" s="35" t="s">
        <v>109</v>
      </c>
      <c r="C115" s="113"/>
      <c r="D115" s="106"/>
      <c r="E115" s="39"/>
      <c r="F115" s="295"/>
      <c r="G115" s="351"/>
      <c r="H115" s="345">
        <f>SUM(H116:H117)</f>
        <v>43184.216224235352</v>
      </c>
    </row>
    <row r="116" spans="1:11" s="116" customFormat="1" ht="19.95" customHeight="1">
      <c r="A116" s="32" t="s">
        <v>336</v>
      </c>
      <c r="B116" s="37" t="s">
        <v>67</v>
      </c>
      <c r="C116" s="47" t="s">
        <v>52</v>
      </c>
      <c r="D116" s="111">
        <f>H106+H112+G106</f>
        <v>132670.40314665239</v>
      </c>
      <c r="E116" s="206">
        <f>'Planilha base'!$H$40</f>
        <v>0.12</v>
      </c>
      <c r="F116" s="281"/>
      <c r="G116" s="352"/>
      <c r="H116" s="346">
        <f>D116*E116</f>
        <v>15920.448377598286</v>
      </c>
    </row>
    <row r="117" spans="1:11" s="116" customFormat="1" ht="19.95" customHeight="1">
      <c r="A117" s="32" t="s">
        <v>108</v>
      </c>
      <c r="B117" s="37" t="s">
        <v>68</v>
      </c>
      <c r="C117" s="47" t="s">
        <v>52</v>
      </c>
      <c r="D117" s="111">
        <f>H106+H112+G106</f>
        <v>132670.40314665239</v>
      </c>
      <c r="E117" s="206">
        <f>'Planilha base'!$H$41</f>
        <v>0.20550000000000002</v>
      </c>
      <c r="F117" s="281"/>
      <c r="G117" s="352"/>
      <c r="H117" s="346">
        <f>D117*E117</f>
        <v>27263.767846637067</v>
      </c>
    </row>
    <row r="118" spans="1:11" s="116" customFormat="1" ht="19.95" customHeight="1">
      <c r="A118" s="32"/>
      <c r="B118" s="37"/>
      <c r="C118" s="47"/>
      <c r="D118" s="111"/>
      <c r="E118" s="115"/>
      <c r="F118" s="254"/>
      <c r="G118" s="356"/>
      <c r="H118" s="345">
        <f>H115+H112+H106+G106</f>
        <v>175854.61937088775</v>
      </c>
    </row>
    <row r="119" spans="1:11" s="116" customFormat="1" ht="19.95" customHeight="1">
      <c r="A119" s="32"/>
      <c r="B119" s="37"/>
      <c r="C119" s="47"/>
      <c r="D119" s="111"/>
      <c r="E119" s="115"/>
      <c r="F119" s="254"/>
      <c r="G119" s="356"/>
      <c r="H119" s="346"/>
    </row>
    <row r="120" spans="1:11" s="116" customFormat="1" ht="19.95" customHeight="1">
      <c r="A120" s="117" t="s">
        <v>110</v>
      </c>
      <c r="B120" s="118" t="s">
        <v>19</v>
      </c>
      <c r="C120" s="119" t="s">
        <v>107</v>
      </c>
      <c r="D120" s="120">
        <f>SUM(D107:D110)</f>
        <v>1642.41</v>
      </c>
      <c r="E120" s="349">
        <f>'Custo Gerencial LOTE 01'!$I$66</f>
        <v>68.849999999999994</v>
      </c>
      <c r="F120" s="296"/>
      <c r="G120" s="355"/>
      <c r="H120" s="347">
        <f>D120*E120</f>
        <v>113079.92849999999</v>
      </c>
    </row>
    <row r="121" spans="1:11" s="116" customFormat="1" ht="19.95" customHeight="1">
      <c r="A121" s="32"/>
      <c r="B121" s="37"/>
      <c r="C121" s="47"/>
      <c r="D121" s="111"/>
      <c r="E121" s="344"/>
      <c r="F121" s="254"/>
      <c r="G121" s="356"/>
      <c r="H121" s="346"/>
    </row>
    <row r="122" spans="1:11" s="116" customFormat="1" ht="19.95" customHeight="1" thickBot="1">
      <c r="A122" s="121"/>
      <c r="B122" s="122" t="s">
        <v>111</v>
      </c>
      <c r="C122" s="123" t="s">
        <v>57</v>
      </c>
      <c r="D122" s="124">
        <v>12</v>
      </c>
      <c r="E122" s="350">
        <f>H105</f>
        <v>288934.54787088773</v>
      </c>
      <c r="F122" s="297"/>
      <c r="G122" s="357"/>
      <c r="H122" s="348">
        <f>E122*D122</f>
        <v>3467214.574450653</v>
      </c>
      <c r="I122" s="157"/>
      <c r="J122" s="158"/>
    </row>
    <row r="123" spans="1:11" ht="19.95" customHeight="1" thickBot="1">
      <c r="A123" s="126"/>
      <c r="B123" s="126"/>
      <c r="C123" s="126"/>
      <c r="D123" s="126"/>
      <c r="H123" s="126"/>
    </row>
    <row r="124" spans="1:11" ht="19.95" customHeight="1" thickBot="1">
      <c r="A124" s="544" t="s">
        <v>549</v>
      </c>
      <c r="B124" s="545"/>
      <c r="C124" s="545"/>
      <c r="D124" s="545"/>
      <c r="E124" s="545"/>
      <c r="F124" s="546"/>
      <c r="G124" s="546"/>
      <c r="H124" s="547"/>
      <c r="I124" s="187"/>
      <c r="J124" s="187"/>
    </row>
    <row r="125" spans="1:11" ht="19.95" customHeight="1">
      <c r="A125" s="548" t="s">
        <v>12</v>
      </c>
      <c r="B125" s="550" t="s">
        <v>14</v>
      </c>
      <c r="C125" s="550"/>
      <c r="D125" s="552" t="s">
        <v>72</v>
      </c>
      <c r="E125" s="554" t="s">
        <v>112</v>
      </c>
      <c r="F125" s="555"/>
      <c r="G125" s="555"/>
      <c r="H125" s="556"/>
    </row>
    <row r="126" spans="1:11" ht="19.95" customHeight="1">
      <c r="A126" s="549"/>
      <c r="B126" s="551"/>
      <c r="C126" s="551"/>
      <c r="D126" s="553"/>
      <c r="E126" s="191" t="s">
        <v>113</v>
      </c>
      <c r="F126" s="298"/>
      <c r="G126" s="298"/>
      <c r="H126" s="182" t="s">
        <v>18</v>
      </c>
    </row>
    <row r="127" spans="1:11" ht="19.95" customHeight="1">
      <c r="A127" s="129" t="str">
        <f>A3</f>
        <v>A</v>
      </c>
      <c r="B127" s="130" t="str">
        <f>B3</f>
        <v>Relatório de Apoio na Análise da Monitoração do Pavimento</v>
      </c>
      <c r="C127" s="131"/>
      <c r="D127" s="185">
        <f>D21</f>
        <v>1</v>
      </c>
      <c r="E127" s="360">
        <f>E21</f>
        <v>412700.40179322066</v>
      </c>
      <c r="F127" s="185"/>
      <c r="G127" s="185"/>
      <c r="H127" s="358">
        <f t="shared" ref="H127:H132" si="7">ROUND(D127*E127,2)</f>
        <v>412700.4</v>
      </c>
      <c r="K127" s="133"/>
    </row>
    <row r="128" spans="1:11" ht="19.95" customHeight="1">
      <c r="A128" s="129" t="str">
        <f>A23</f>
        <v>B</v>
      </c>
      <c r="B128" s="130" t="str">
        <f>B23</f>
        <v>Relatório de Apoio na Análise da Monitoração da Sinalização Horizontal</v>
      </c>
      <c r="C128" s="131"/>
      <c r="D128" s="185">
        <f>D41</f>
        <v>1</v>
      </c>
      <c r="E128" s="360">
        <f>E41</f>
        <v>539037.71789125982</v>
      </c>
      <c r="F128" s="185"/>
      <c r="G128" s="185"/>
      <c r="H128" s="358">
        <f t="shared" si="7"/>
        <v>539037.72</v>
      </c>
    </row>
    <row r="129" spans="1:14" ht="19.95" customHeight="1">
      <c r="A129" s="129" t="str">
        <f>A43</f>
        <v>C</v>
      </c>
      <c r="B129" s="130" t="str">
        <f>B43</f>
        <v>Relatório de Apoio na Análise da Monitoração da Sinalização Vertical</v>
      </c>
      <c r="C129" s="131"/>
      <c r="D129" s="185">
        <f>D61</f>
        <v>1</v>
      </c>
      <c r="E129" s="360">
        <f>E61</f>
        <v>540705.27235892299</v>
      </c>
      <c r="F129" s="185"/>
      <c r="G129" s="185"/>
      <c r="H129" s="358">
        <f t="shared" si="7"/>
        <v>540705.27</v>
      </c>
    </row>
    <row r="130" spans="1:14" ht="19.95" customHeight="1">
      <c r="A130" s="129" t="str">
        <f>A63</f>
        <v>D</v>
      </c>
      <c r="B130" s="130" t="str">
        <f>B63</f>
        <v>Relatório de Apoio na Análise da Monitoração das Obras de Arte Especial</v>
      </c>
      <c r="C130" s="131"/>
      <c r="D130" s="185">
        <f>D81</f>
        <v>1</v>
      </c>
      <c r="E130" s="360">
        <f>E81</f>
        <v>413537.04187863128</v>
      </c>
      <c r="F130" s="185"/>
      <c r="G130" s="185"/>
      <c r="H130" s="358">
        <f t="shared" si="7"/>
        <v>413537.04</v>
      </c>
    </row>
    <row r="131" spans="1:14" ht="19.95" customHeight="1">
      <c r="A131" s="129" t="str">
        <f>A83</f>
        <v>E</v>
      </c>
      <c r="B131" s="130" t="str">
        <f>B83</f>
        <v>Relatório de Apoio na Análise da Monitoração dos Terraplenos e Estruturas de Contenção</v>
      </c>
      <c r="C131" s="131"/>
      <c r="D131" s="185">
        <f>D101</f>
        <v>1</v>
      </c>
      <c r="E131" s="360">
        <f>E101</f>
        <v>416032.22029222129</v>
      </c>
      <c r="F131" s="185"/>
      <c r="G131" s="185"/>
      <c r="H131" s="358">
        <f t="shared" si="7"/>
        <v>416032.22</v>
      </c>
    </row>
    <row r="132" spans="1:14" ht="19.95" customHeight="1" thickBot="1">
      <c r="A132" s="188" t="str">
        <f>A103</f>
        <v>F</v>
      </c>
      <c r="B132" s="189" t="str">
        <f>B103</f>
        <v>Relatório de Apoio no Acompanhamento da Conservação, Manutenção, Operação e Obras</v>
      </c>
      <c r="C132" s="190"/>
      <c r="D132" s="186">
        <f>D122</f>
        <v>12</v>
      </c>
      <c r="E132" s="361">
        <f>E122</f>
        <v>288934.54787088773</v>
      </c>
      <c r="F132" s="186"/>
      <c r="G132" s="186"/>
      <c r="H132" s="359">
        <f t="shared" si="7"/>
        <v>3467214.57</v>
      </c>
      <c r="K132" s="160"/>
      <c r="L132" s="160"/>
      <c r="M132" s="160"/>
      <c r="N132" s="160"/>
    </row>
    <row r="133" spans="1:14" ht="19.95" customHeight="1" thickBot="1">
      <c r="D133" s="159"/>
      <c r="E133" s="183" t="s">
        <v>87</v>
      </c>
      <c r="F133" s="299"/>
      <c r="G133" s="299"/>
      <c r="H133" s="184">
        <f>ROUND(SUM(H127:H132),2)</f>
        <v>5789227.2199999997</v>
      </c>
      <c r="K133" s="192"/>
      <c r="L133" s="193"/>
      <c r="M133" s="193"/>
      <c r="N133" s="160"/>
    </row>
    <row r="134" spans="1:14">
      <c r="D134" s="132"/>
      <c r="E134" s="160"/>
      <c r="F134" s="160"/>
      <c r="G134" s="160"/>
      <c r="K134" s="160"/>
      <c r="L134" s="160"/>
      <c r="M134" s="160"/>
      <c r="N134" s="160"/>
    </row>
    <row r="135" spans="1:14">
      <c r="D135" s="82"/>
      <c r="H135" s="133"/>
      <c r="K135" s="160"/>
      <c r="L135" s="160"/>
      <c r="M135" s="160"/>
      <c r="N135" s="160"/>
    </row>
  </sheetData>
  <autoFilter ref="A5:A123" xr:uid="{00000000-0009-0000-0000-000002000000}"/>
  <mergeCells count="14">
    <mergeCell ref="B63:H63"/>
    <mergeCell ref="B83:H83"/>
    <mergeCell ref="B103:H103"/>
    <mergeCell ref="A124:H124"/>
    <mergeCell ref="A125:A126"/>
    <mergeCell ref="B125:C126"/>
    <mergeCell ref="D125:D126"/>
    <mergeCell ref="E125:H125"/>
    <mergeCell ref="B43:H43"/>
    <mergeCell ref="A1:B1"/>
    <mergeCell ref="C1:E1"/>
    <mergeCell ref="B3:H3"/>
    <mergeCell ref="L3:Q3"/>
    <mergeCell ref="B23:H23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2" max="6" man="1"/>
    <brk id="42" max="6" man="1"/>
    <brk id="82" max="6" man="1"/>
    <brk id="102" max="6" man="1"/>
    <brk id="123" max="6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63596-B47A-4F97-80FF-A023345B71C5}">
  <sheetPr>
    <tabColor theme="9" tint="0.39997558519241921"/>
  </sheetPr>
  <dimension ref="A1:M67"/>
  <sheetViews>
    <sheetView topLeftCell="A47" zoomScale="85" zoomScaleNormal="85" zoomScaleSheetLayoutView="90" workbookViewId="0">
      <selection activeCell="A50" sqref="A50"/>
    </sheetView>
  </sheetViews>
  <sheetFormatPr defaultColWidth="8.6640625" defaultRowHeight="14.4"/>
  <cols>
    <col min="1" max="1" width="8.6640625" style="9" customWidth="1"/>
    <col min="2" max="2" width="6.33203125" style="9" customWidth="1"/>
    <col min="3" max="3" width="59.109375" style="9" customWidth="1"/>
    <col min="4" max="4" width="14.33203125" style="57" bestFit="1" customWidth="1"/>
    <col min="5" max="5" width="13.109375" style="9" customWidth="1"/>
    <col min="6" max="6" width="11" style="9" bestFit="1" customWidth="1"/>
    <col min="7" max="7" width="9.5546875" style="9" bestFit="1" customWidth="1"/>
    <col min="8" max="8" width="10.5546875" style="9" bestFit="1" customWidth="1"/>
    <col min="9" max="9" width="15.33203125" style="9" customWidth="1"/>
    <col min="10" max="10" width="9" style="9" customWidth="1"/>
    <col min="11" max="11" width="9.5546875" style="150" customWidth="1"/>
    <col min="12" max="13" width="9.5546875" style="10" customWidth="1"/>
    <col min="14" max="20" width="9.5546875" style="9" customWidth="1"/>
    <col min="21" max="258" width="8.6640625" style="9"/>
    <col min="259" max="260" width="10.6640625" style="9" customWidth="1"/>
    <col min="261" max="261" width="36.6640625" style="9" customWidth="1"/>
    <col min="262" max="262" width="35.44140625" style="9" customWidth="1"/>
    <col min="263" max="263" width="14.109375" style="9" customWidth="1"/>
    <col min="264" max="264" width="16" style="9" customWidth="1"/>
    <col min="265" max="265" width="19.33203125" style="9" customWidth="1"/>
    <col min="266" max="266" width="15" style="9" customWidth="1"/>
    <col min="267" max="267" width="9.6640625" style="9" bestFit="1" customWidth="1"/>
    <col min="268" max="514" width="8.6640625" style="9"/>
    <col min="515" max="516" width="10.6640625" style="9" customWidth="1"/>
    <col min="517" max="517" width="36.6640625" style="9" customWidth="1"/>
    <col min="518" max="518" width="35.44140625" style="9" customWidth="1"/>
    <col min="519" max="519" width="14.109375" style="9" customWidth="1"/>
    <col min="520" max="520" width="16" style="9" customWidth="1"/>
    <col min="521" max="521" width="19.33203125" style="9" customWidth="1"/>
    <col min="522" max="522" width="15" style="9" customWidth="1"/>
    <col min="523" max="523" width="9.6640625" style="9" bestFit="1" customWidth="1"/>
    <col min="524" max="770" width="8.6640625" style="9"/>
    <col min="771" max="772" width="10.6640625" style="9" customWidth="1"/>
    <col min="773" max="773" width="36.6640625" style="9" customWidth="1"/>
    <col min="774" max="774" width="35.44140625" style="9" customWidth="1"/>
    <col min="775" max="775" width="14.109375" style="9" customWidth="1"/>
    <col min="776" max="776" width="16" style="9" customWidth="1"/>
    <col min="777" max="777" width="19.33203125" style="9" customWidth="1"/>
    <col min="778" max="778" width="15" style="9" customWidth="1"/>
    <col min="779" max="779" width="9.6640625" style="9" bestFit="1" customWidth="1"/>
    <col min="780" max="1026" width="8.6640625" style="9"/>
    <col min="1027" max="1028" width="10.6640625" style="9" customWidth="1"/>
    <col min="1029" max="1029" width="36.6640625" style="9" customWidth="1"/>
    <col min="1030" max="1030" width="35.44140625" style="9" customWidth="1"/>
    <col min="1031" max="1031" width="14.109375" style="9" customWidth="1"/>
    <col min="1032" max="1032" width="16" style="9" customWidth="1"/>
    <col min="1033" max="1033" width="19.33203125" style="9" customWidth="1"/>
    <col min="1034" max="1034" width="15" style="9" customWidth="1"/>
    <col min="1035" max="1035" width="9.6640625" style="9" bestFit="1" customWidth="1"/>
    <col min="1036" max="1282" width="8.6640625" style="9"/>
    <col min="1283" max="1284" width="10.6640625" style="9" customWidth="1"/>
    <col min="1285" max="1285" width="36.6640625" style="9" customWidth="1"/>
    <col min="1286" max="1286" width="35.44140625" style="9" customWidth="1"/>
    <col min="1287" max="1287" width="14.109375" style="9" customWidth="1"/>
    <col min="1288" max="1288" width="16" style="9" customWidth="1"/>
    <col min="1289" max="1289" width="19.33203125" style="9" customWidth="1"/>
    <col min="1290" max="1290" width="15" style="9" customWidth="1"/>
    <col min="1291" max="1291" width="9.6640625" style="9" bestFit="1" customWidth="1"/>
    <col min="1292" max="1538" width="8.6640625" style="9"/>
    <col min="1539" max="1540" width="10.6640625" style="9" customWidth="1"/>
    <col min="1541" max="1541" width="36.6640625" style="9" customWidth="1"/>
    <col min="1542" max="1542" width="35.44140625" style="9" customWidth="1"/>
    <col min="1543" max="1543" width="14.109375" style="9" customWidth="1"/>
    <col min="1544" max="1544" width="16" style="9" customWidth="1"/>
    <col min="1545" max="1545" width="19.33203125" style="9" customWidth="1"/>
    <col min="1546" max="1546" width="15" style="9" customWidth="1"/>
    <col min="1547" max="1547" width="9.6640625" style="9" bestFit="1" customWidth="1"/>
    <col min="1548" max="1794" width="8.6640625" style="9"/>
    <col min="1795" max="1796" width="10.6640625" style="9" customWidth="1"/>
    <col min="1797" max="1797" width="36.6640625" style="9" customWidth="1"/>
    <col min="1798" max="1798" width="35.44140625" style="9" customWidth="1"/>
    <col min="1799" max="1799" width="14.109375" style="9" customWidth="1"/>
    <col min="1800" max="1800" width="16" style="9" customWidth="1"/>
    <col min="1801" max="1801" width="19.33203125" style="9" customWidth="1"/>
    <col min="1802" max="1802" width="15" style="9" customWidth="1"/>
    <col min="1803" max="1803" width="9.6640625" style="9" bestFit="1" customWidth="1"/>
    <col min="1804" max="2050" width="8.6640625" style="9"/>
    <col min="2051" max="2052" width="10.6640625" style="9" customWidth="1"/>
    <col min="2053" max="2053" width="36.6640625" style="9" customWidth="1"/>
    <col min="2054" max="2054" width="35.44140625" style="9" customWidth="1"/>
    <col min="2055" max="2055" width="14.109375" style="9" customWidth="1"/>
    <col min="2056" max="2056" width="16" style="9" customWidth="1"/>
    <col min="2057" max="2057" width="19.33203125" style="9" customWidth="1"/>
    <col min="2058" max="2058" width="15" style="9" customWidth="1"/>
    <col min="2059" max="2059" width="9.6640625" style="9" bestFit="1" customWidth="1"/>
    <col min="2060" max="2306" width="8.6640625" style="9"/>
    <col min="2307" max="2308" width="10.6640625" style="9" customWidth="1"/>
    <col min="2309" max="2309" width="36.6640625" style="9" customWidth="1"/>
    <col min="2310" max="2310" width="35.44140625" style="9" customWidth="1"/>
    <col min="2311" max="2311" width="14.109375" style="9" customWidth="1"/>
    <col min="2312" max="2312" width="16" style="9" customWidth="1"/>
    <col min="2313" max="2313" width="19.33203125" style="9" customWidth="1"/>
    <col min="2314" max="2314" width="15" style="9" customWidth="1"/>
    <col min="2315" max="2315" width="9.6640625" style="9" bestFit="1" customWidth="1"/>
    <col min="2316" max="2562" width="8.6640625" style="9"/>
    <col min="2563" max="2564" width="10.6640625" style="9" customWidth="1"/>
    <col min="2565" max="2565" width="36.6640625" style="9" customWidth="1"/>
    <col min="2566" max="2566" width="35.44140625" style="9" customWidth="1"/>
    <col min="2567" max="2567" width="14.109375" style="9" customWidth="1"/>
    <col min="2568" max="2568" width="16" style="9" customWidth="1"/>
    <col min="2569" max="2569" width="19.33203125" style="9" customWidth="1"/>
    <col min="2570" max="2570" width="15" style="9" customWidth="1"/>
    <col min="2571" max="2571" width="9.6640625" style="9" bestFit="1" customWidth="1"/>
    <col min="2572" max="2818" width="8.6640625" style="9"/>
    <col min="2819" max="2820" width="10.6640625" style="9" customWidth="1"/>
    <col min="2821" max="2821" width="36.6640625" style="9" customWidth="1"/>
    <col min="2822" max="2822" width="35.44140625" style="9" customWidth="1"/>
    <col min="2823" max="2823" width="14.109375" style="9" customWidth="1"/>
    <col min="2824" max="2824" width="16" style="9" customWidth="1"/>
    <col min="2825" max="2825" width="19.33203125" style="9" customWidth="1"/>
    <col min="2826" max="2826" width="15" style="9" customWidth="1"/>
    <col min="2827" max="2827" width="9.6640625" style="9" bestFit="1" customWidth="1"/>
    <col min="2828" max="3074" width="8.6640625" style="9"/>
    <col min="3075" max="3076" width="10.6640625" style="9" customWidth="1"/>
    <col min="3077" max="3077" width="36.6640625" style="9" customWidth="1"/>
    <col min="3078" max="3078" width="35.44140625" style="9" customWidth="1"/>
    <col min="3079" max="3079" width="14.109375" style="9" customWidth="1"/>
    <col min="3080" max="3080" width="16" style="9" customWidth="1"/>
    <col min="3081" max="3081" width="19.33203125" style="9" customWidth="1"/>
    <col min="3082" max="3082" width="15" style="9" customWidth="1"/>
    <col min="3083" max="3083" width="9.6640625" style="9" bestFit="1" customWidth="1"/>
    <col min="3084" max="3330" width="8.6640625" style="9"/>
    <col min="3331" max="3332" width="10.6640625" style="9" customWidth="1"/>
    <col min="3333" max="3333" width="36.6640625" style="9" customWidth="1"/>
    <col min="3334" max="3334" width="35.44140625" style="9" customWidth="1"/>
    <col min="3335" max="3335" width="14.109375" style="9" customWidth="1"/>
    <col min="3336" max="3336" width="16" style="9" customWidth="1"/>
    <col min="3337" max="3337" width="19.33203125" style="9" customWidth="1"/>
    <col min="3338" max="3338" width="15" style="9" customWidth="1"/>
    <col min="3339" max="3339" width="9.6640625" style="9" bestFit="1" customWidth="1"/>
    <col min="3340" max="3586" width="8.6640625" style="9"/>
    <col min="3587" max="3588" width="10.6640625" style="9" customWidth="1"/>
    <col min="3589" max="3589" width="36.6640625" style="9" customWidth="1"/>
    <col min="3590" max="3590" width="35.44140625" style="9" customWidth="1"/>
    <col min="3591" max="3591" width="14.109375" style="9" customWidth="1"/>
    <col min="3592" max="3592" width="16" style="9" customWidth="1"/>
    <col min="3593" max="3593" width="19.33203125" style="9" customWidth="1"/>
    <col min="3594" max="3594" width="15" style="9" customWidth="1"/>
    <col min="3595" max="3595" width="9.6640625" style="9" bestFit="1" customWidth="1"/>
    <col min="3596" max="3842" width="8.6640625" style="9"/>
    <col min="3843" max="3844" width="10.6640625" style="9" customWidth="1"/>
    <col min="3845" max="3845" width="36.6640625" style="9" customWidth="1"/>
    <col min="3846" max="3846" width="35.44140625" style="9" customWidth="1"/>
    <col min="3847" max="3847" width="14.109375" style="9" customWidth="1"/>
    <col min="3848" max="3848" width="16" style="9" customWidth="1"/>
    <col min="3849" max="3849" width="19.33203125" style="9" customWidth="1"/>
    <col min="3850" max="3850" width="15" style="9" customWidth="1"/>
    <col min="3851" max="3851" width="9.6640625" style="9" bestFit="1" customWidth="1"/>
    <col min="3852" max="4098" width="8.6640625" style="9"/>
    <col min="4099" max="4100" width="10.6640625" style="9" customWidth="1"/>
    <col min="4101" max="4101" width="36.6640625" style="9" customWidth="1"/>
    <col min="4102" max="4102" width="35.44140625" style="9" customWidth="1"/>
    <col min="4103" max="4103" width="14.109375" style="9" customWidth="1"/>
    <col min="4104" max="4104" width="16" style="9" customWidth="1"/>
    <col min="4105" max="4105" width="19.33203125" style="9" customWidth="1"/>
    <col min="4106" max="4106" width="15" style="9" customWidth="1"/>
    <col min="4107" max="4107" width="9.6640625" style="9" bestFit="1" customWidth="1"/>
    <col min="4108" max="4354" width="8.6640625" style="9"/>
    <col min="4355" max="4356" width="10.6640625" style="9" customWidth="1"/>
    <col min="4357" max="4357" width="36.6640625" style="9" customWidth="1"/>
    <col min="4358" max="4358" width="35.44140625" style="9" customWidth="1"/>
    <col min="4359" max="4359" width="14.109375" style="9" customWidth="1"/>
    <col min="4360" max="4360" width="16" style="9" customWidth="1"/>
    <col min="4361" max="4361" width="19.33203125" style="9" customWidth="1"/>
    <col min="4362" max="4362" width="15" style="9" customWidth="1"/>
    <col min="4363" max="4363" width="9.6640625" style="9" bestFit="1" customWidth="1"/>
    <col min="4364" max="4610" width="8.6640625" style="9"/>
    <col min="4611" max="4612" width="10.6640625" style="9" customWidth="1"/>
    <col min="4613" max="4613" width="36.6640625" style="9" customWidth="1"/>
    <col min="4614" max="4614" width="35.44140625" style="9" customWidth="1"/>
    <col min="4615" max="4615" width="14.109375" style="9" customWidth="1"/>
    <col min="4616" max="4616" width="16" style="9" customWidth="1"/>
    <col min="4617" max="4617" width="19.33203125" style="9" customWidth="1"/>
    <col min="4618" max="4618" width="15" style="9" customWidth="1"/>
    <col min="4619" max="4619" width="9.6640625" style="9" bestFit="1" customWidth="1"/>
    <col min="4620" max="4866" width="8.6640625" style="9"/>
    <col min="4867" max="4868" width="10.6640625" style="9" customWidth="1"/>
    <col min="4869" max="4869" width="36.6640625" style="9" customWidth="1"/>
    <col min="4870" max="4870" width="35.44140625" style="9" customWidth="1"/>
    <col min="4871" max="4871" width="14.109375" style="9" customWidth="1"/>
    <col min="4872" max="4872" width="16" style="9" customWidth="1"/>
    <col min="4873" max="4873" width="19.33203125" style="9" customWidth="1"/>
    <col min="4874" max="4874" width="15" style="9" customWidth="1"/>
    <col min="4875" max="4875" width="9.6640625" style="9" bestFit="1" customWidth="1"/>
    <col min="4876" max="5122" width="8.6640625" style="9"/>
    <col min="5123" max="5124" width="10.6640625" style="9" customWidth="1"/>
    <col min="5125" max="5125" width="36.6640625" style="9" customWidth="1"/>
    <col min="5126" max="5126" width="35.44140625" style="9" customWidth="1"/>
    <col min="5127" max="5127" width="14.109375" style="9" customWidth="1"/>
    <col min="5128" max="5128" width="16" style="9" customWidth="1"/>
    <col min="5129" max="5129" width="19.33203125" style="9" customWidth="1"/>
    <col min="5130" max="5130" width="15" style="9" customWidth="1"/>
    <col min="5131" max="5131" width="9.6640625" style="9" bestFit="1" customWidth="1"/>
    <col min="5132" max="5378" width="8.6640625" style="9"/>
    <col min="5379" max="5380" width="10.6640625" style="9" customWidth="1"/>
    <col min="5381" max="5381" width="36.6640625" style="9" customWidth="1"/>
    <col min="5382" max="5382" width="35.44140625" style="9" customWidth="1"/>
    <col min="5383" max="5383" width="14.109375" style="9" customWidth="1"/>
    <col min="5384" max="5384" width="16" style="9" customWidth="1"/>
    <col min="5385" max="5385" width="19.33203125" style="9" customWidth="1"/>
    <col min="5386" max="5386" width="15" style="9" customWidth="1"/>
    <col min="5387" max="5387" width="9.6640625" style="9" bestFit="1" customWidth="1"/>
    <col min="5388" max="5634" width="8.6640625" style="9"/>
    <col min="5635" max="5636" width="10.6640625" style="9" customWidth="1"/>
    <col min="5637" max="5637" width="36.6640625" style="9" customWidth="1"/>
    <col min="5638" max="5638" width="35.44140625" style="9" customWidth="1"/>
    <col min="5639" max="5639" width="14.109375" style="9" customWidth="1"/>
    <col min="5640" max="5640" width="16" style="9" customWidth="1"/>
    <col min="5641" max="5641" width="19.33203125" style="9" customWidth="1"/>
    <col min="5642" max="5642" width="15" style="9" customWidth="1"/>
    <col min="5643" max="5643" width="9.6640625" style="9" bestFit="1" customWidth="1"/>
    <col min="5644" max="5890" width="8.6640625" style="9"/>
    <col min="5891" max="5892" width="10.6640625" style="9" customWidth="1"/>
    <col min="5893" max="5893" width="36.6640625" style="9" customWidth="1"/>
    <col min="5894" max="5894" width="35.44140625" style="9" customWidth="1"/>
    <col min="5895" max="5895" width="14.109375" style="9" customWidth="1"/>
    <col min="5896" max="5896" width="16" style="9" customWidth="1"/>
    <col min="5897" max="5897" width="19.33203125" style="9" customWidth="1"/>
    <col min="5898" max="5898" width="15" style="9" customWidth="1"/>
    <col min="5899" max="5899" width="9.6640625" style="9" bestFit="1" customWidth="1"/>
    <col min="5900" max="6146" width="8.6640625" style="9"/>
    <col min="6147" max="6148" width="10.6640625" style="9" customWidth="1"/>
    <col min="6149" max="6149" width="36.6640625" style="9" customWidth="1"/>
    <col min="6150" max="6150" width="35.44140625" style="9" customWidth="1"/>
    <col min="6151" max="6151" width="14.109375" style="9" customWidth="1"/>
    <col min="6152" max="6152" width="16" style="9" customWidth="1"/>
    <col min="6153" max="6153" width="19.33203125" style="9" customWidth="1"/>
    <col min="6154" max="6154" width="15" style="9" customWidth="1"/>
    <col min="6155" max="6155" width="9.6640625" style="9" bestFit="1" customWidth="1"/>
    <col min="6156" max="6402" width="8.6640625" style="9"/>
    <col min="6403" max="6404" width="10.6640625" style="9" customWidth="1"/>
    <col min="6405" max="6405" width="36.6640625" style="9" customWidth="1"/>
    <col min="6406" max="6406" width="35.44140625" style="9" customWidth="1"/>
    <col min="6407" max="6407" width="14.109375" style="9" customWidth="1"/>
    <col min="6408" max="6408" width="16" style="9" customWidth="1"/>
    <col min="6409" max="6409" width="19.33203125" style="9" customWidth="1"/>
    <col min="6410" max="6410" width="15" style="9" customWidth="1"/>
    <col min="6411" max="6411" width="9.6640625" style="9" bestFit="1" customWidth="1"/>
    <col min="6412" max="6658" width="8.6640625" style="9"/>
    <col min="6659" max="6660" width="10.6640625" style="9" customWidth="1"/>
    <col min="6661" max="6661" width="36.6640625" style="9" customWidth="1"/>
    <col min="6662" max="6662" width="35.44140625" style="9" customWidth="1"/>
    <col min="6663" max="6663" width="14.109375" style="9" customWidth="1"/>
    <col min="6664" max="6664" width="16" style="9" customWidth="1"/>
    <col min="6665" max="6665" width="19.33203125" style="9" customWidth="1"/>
    <col min="6666" max="6666" width="15" style="9" customWidth="1"/>
    <col min="6667" max="6667" width="9.6640625" style="9" bestFit="1" customWidth="1"/>
    <col min="6668" max="6914" width="8.6640625" style="9"/>
    <col min="6915" max="6916" width="10.6640625" style="9" customWidth="1"/>
    <col min="6917" max="6917" width="36.6640625" style="9" customWidth="1"/>
    <col min="6918" max="6918" width="35.44140625" style="9" customWidth="1"/>
    <col min="6919" max="6919" width="14.109375" style="9" customWidth="1"/>
    <col min="6920" max="6920" width="16" style="9" customWidth="1"/>
    <col min="6921" max="6921" width="19.33203125" style="9" customWidth="1"/>
    <col min="6922" max="6922" width="15" style="9" customWidth="1"/>
    <col min="6923" max="6923" width="9.6640625" style="9" bestFit="1" customWidth="1"/>
    <col min="6924" max="7170" width="8.6640625" style="9"/>
    <col min="7171" max="7172" width="10.6640625" style="9" customWidth="1"/>
    <col min="7173" max="7173" width="36.6640625" style="9" customWidth="1"/>
    <col min="7174" max="7174" width="35.44140625" style="9" customWidth="1"/>
    <col min="7175" max="7175" width="14.109375" style="9" customWidth="1"/>
    <col min="7176" max="7176" width="16" style="9" customWidth="1"/>
    <col min="7177" max="7177" width="19.33203125" style="9" customWidth="1"/>
    <col min="7178" max="7178" width="15" style="9" customWidth="1"/>
    <col min="7179" max="7179" width="9.6640625" style="9" bestFit="1" customWidth="1"/>
    <col min="7180" max="7426" width="8.6640625" style="9"/>
    <col min="7427" max="7428" width="10.6640625" style="9" customWidth="1"/>
    <col min="7429" max="7429" width="36.6640625" style="9" customWidth="1"/>
    <col min="7430" max="7430" width="35.44140625" style="9" customWidth="1"/>
    <col min="7431" max="7431" width="14.109375" style="9" customWidth="1"/>
    <col min="7432" max="7432" width="16" style="9" customWidth="1"/>
    <col min="7433" max="7433" width="19.33203125" style="9" customWidth="1"/>
    <col min="7434" max="7434" width="15" style="9" customWidth="1"/>
    <col min="7435" max="7435" width="9.6640625" style="9" bestFit="1" customWidth="1"/>
    <col min="7436" max="7682" width="8.6640625" style="9"/>
    <col min="7683" max="7684" width="10.6640625" style="9" customWidth="1"/>
    <col min="7685" max="7685" width="36.6640625" style="9" customWidth="1"/>
    <col min="7686" max="7686" width="35.44140625" style="9" customWidth="1"/>
    <col min="7687" max="7687" width="14.109375" style="9" customWidth="1"/>
    <col min="7688" max="7688" width="16" style="9" customWidth="1"/>
    <col min="7689" max="7689" width="19.33203125" style="9" customWidth="1"/>
    <col min="7690" max="7690" width="15" style="9" customWidth="1"/>
    <col min="7691" max="7691" width="9.6640625" style="9" bestFit="1" customWidth="1"/>
    <col min="7692" max="7938" width="8.6640625" style="9"/>
    <col min="7939" max="7940" width="10.6640625" style="9" customWidth="1"/>
    <col min="7941" max="7941" width="36.6640625" style="9" customWidth="1"/>
    <col min="7942" max="7942" width="35.44140625" style="9" customWidth="1"/>
    <col min="7943" max="7943" width="14.109375" style="9" customWidth="1"/>
    <col min="7944" max="7944" width="16" style="9" customWidth="1"/>
    <col min="7945" max="7945" width="19.33203125" style="9" customWidth="1"/>
    <col min="7946" max="7946" width="15" style="9" customWidth="1"/>
    <col min="7947" max="7947" width="9.6640625" style="9" bestFit="1" customWidth="1"/>
    <col min="7948" max="8194" width="8.6640625" style="9"/>
    <col min="8195" max="8196" width="10.6640625" style="9" customWidth="1"/>
    <col min="8197" max="8197" width="36.6640625" style="9" customWidth="1"/>
    <col min="8198" max="8198" width="35.44140625" style="9" customWidth="1"/>
    <col min="8199" max="8199" width="14.109375" style="9" customWidth="1"/>
    <col min="8200" max="8200" width="16" style="9" customWidth="1"/>
    <col min="8201" max="8201" width="19.33203125" style="9" customWidth="1"/>
    <col min="8202" max="8202" width="15" style="9" customWidth="1"/>
    <col min="8203" max="8203" width="9.6640625" style="9" bestFit="1" customWidth="1"/>
    <col min="8204" max="8450" width="8.6640625" style="9"/>
    <col min="8451" max="8452" width="10.6640625" style="9" customWidth="1"/>
    <col min="8453" max="8453" width="36.6640625" style="9" customWidth="1"/>
    <col min="8454" max="8454" width="35.44140625" style="9" customWidth="1"/>
    <col min="8455" max="8455" width="14.109375" style="9" customWidth="1"/>
    <col min="8456" max="8456" width="16" style="9" customWidth="1"/>
    <col min="8457" max="8457" width="19.33203125" style="9" customWidth="1"/>
    <col min="8458" max="8458" width="15" style="9" customWidth="1"/>
    <col min="8459" max="8459" width="9.6640625" style="9" bestFit="1" customWidth="1"/>
    <col min="8460" max="8706" width="8.6640625" style="9"/>
    <col min="8707" max="8708" width="10.6640625" style="9" customWidth="1"/>
    <col min="8709" max="8709" width="36.6640625" style="9" customWidth="1"/>
    <col min="8710" max="8710" width="35.44140625" style="9" customWidth="1"/>
    <col min="8711" max="8711" width="14.109375" style="9" customWidth="1"/>
    <col min="8712" max="8712" width="16" style="9" customWidth="1"/>
    <col min="8713" max="8713" width="19.33203125" style="9" customWidth="1"/>
    <col min="8714" max="8714" width="15" style="9" customWidth="1"/>
    <col min="8715" max="8715" width="9.6640625" style="9" bestFit="1" customWidth="1"/>
    <col min="8716" max="8962" width="8.6640625" style="9"/>
    <col min="8963" max="8964" width="10.6640625" style="9" customWidth="1"/>
    <col min="8965" max="8965" width="36.6640625" style="9" customWidth="1"/>
    <col min="8966" max="8966" width="35.44140625" style="9" customWidth="1"/>
    <col min="8967" max="8967" width="14.109375" style="9" customWidth="1"/>
    <col min="8968" max="8968" width="16" style="9" customWidth="1"/>
    <col min="8969" max="8969" width="19.33203125" style="9" customWidth="1"/>
    <col min="8970" max="8970" width="15" style="9" customWidth="1"/>
    <col min="8971" max="8971" width="9.6640625" style="9" bestFit="1" customWidth="1"/>
    <col min="8972" max="9218" width="8.6640625" style="9"/>
    <col min="9219" max="9220" width="10.6640625" style="9" customWidth="1"/>
    <col min="9221" max="9221" width="36.6640625" style="9" customWidth="1"/>
    <col min="9222" max="9222" width="35.44140625" style="9" customWidth="1"/>
    <col min="9223" max="9223" width="14.109375" style="9" customWidth="1"/>
    <col min="9224" max="9224" width="16" style="9" customWidth="1"/>
    <col min="9225" max="9225" width="19.33203125" style="9" customWidth="1"/>
    <col min="9226" max="9226" width="15" style="9" customWidth="1"/>
    <col min="9227" max="9227" width="9.6640625" style="9" bestFit="1" customWidth="1"/>
    <col min="9228" max="9474" width="8.6640625" style="9"/>
    <col min="9475" max="9476" width="10.6640625" style="9" customWidth="1"/>
    <col min="9477" max="9477" width="36.6640625" style="9" customWidth="1"/>
    <col min="9478" max="9478" width="35.44140625" style="9" customWidth="1"/>
    <col min="9479" max="9479" width="14.109375" style="9" customWidth="1"/>
    <col min="9480" max="9480" width="16" style="9" customWidth="1"/>
    <col min="9481" max="9481" width="19.33203125" style="9" customWidth="1"/>
    <col min="9482" max="9482" width="15" style="9" customWidth="1"/>
    <col min="9483" max="9483" width="9.6640625" style="9" bestFit="1" customWidth="1"/>
    <col min="9484" max="9730" width="8.6640625" style="9"/>
    <col min="9731" max="9732" width="10.6640625" style="9" customWidth="1"/>
    <col min="9733" max="9733" width="36.6640625" style="9" customWidth="1"/>
    <col min="9734" max="9734" width="35.44140625" style="9" customWidth="1"/>
    <col min="9735" max="9735" width="14.109375" style="9" customWidth="1"/>
    <col min="9736" max="9736" width="16" style="9" customWidth="1"/>
    <col min="9737" max="9737" width="19.33203125" style="9" customWidth="1"/>
    <col min="9738" max="9738" width="15" style="9" customWidth="1"/>
    <col min="9739" max="9739" width="9.6640625" style="9" bestFit="1" customWidth="1"/>
    <col min="9740" max="9986" width="8.6640625" style="9"/>
    <col min="9987" max="9988" width="10.6640625" style="9" customWidth="1"/>
    <col min="9989" max="9989" width="36.6640625" style="9" customWidth="1"/>
    <col min="9990" max="9990" width="35.44140625" style="9" customWidth="1"/>
    <col min="9991" max="9991" width="14.109375" style="9" customWidth="1"/>
    <col min="9992" max="9992" width="16" style="9" customWidth="1"/>
    <col min="9993" max="9993" width="19.33203125" style="9" customWidth="1"/>
    <col min="9994" max="9994" width="15" style="9" customWidth="1"/>
    <col min="9995" max="9995" width="9.6640625" style="9" bestFit="1" customWidth="1"/>
    <col min="9996" max="10242" width="8.6640625" style="9"/>
    <col min="10243" max="10244" width="10.6640625" style="9" customWidth="1"/>
    <col min="10245" max="10245" width="36.6640625" style="9" customWidth="1"/>
    <col min="10246" max="10246" width="35.44140625" style="9" customWidth="1"/>
    <col min="10247" max="10247" width="14.109375" style="9" customWidth="1"/>
    <col min="10248" max="10248" width="16" style="9" customWidth="1"/>
    <col min="10249" max="10249" width="19.33203125" style="9" customWidth="1"/>
    <col min="10250" max="10250" width="15" style="9" customWidth="1"/>
    <col min="10251" max="10251" width="9.6640625" style="9" bestFit="1" customWidth="1"/>
    <col min="10252" max="10498" width="8.6640625" style="9"/>
    <col min="10499" max="10500" width="10.6640625" style="9" customWidth="1"/>
    <col min="10501" max="10501" width="36.6640625" style="9" customWidth="1"/>
    <col min="10502" max="10502" width="35.44140625" style="9" customWidth="1"/>
    <col min="10503" max="10503" width="14.109375" style="9" customWidth="1"/>
    <col min="10504" max="10504" width="16" style="9" customWidth="1"/>
    <col min="10505" max="10505" width="19.33203125" style="9" customWidth="1"/>
    <col min="10506" max="10506" width="15" style="9" customWidth="1"/>
    <col min="10507" max="10507" width="9.6640625" style="9" bestFit="1" customWidth="1"/>
    <col min="10508" max="10754" width="8.6640625" style="9"/>
    <col min="10755" max="10756" width="10.6640625" style="9" customWidth="1"/>
    <col min="10757" max="10757" width="36.6640625" style="9" customWidth="1"/>
    <col min="10758" max="10758" width="35.44140625" style="9" customWidth="1"/>
    <col min="10759" max="10759" width="14.109375" style="9" customWidth="1"/>
    <col min="10760" max="10760" width="16" style="9" customWidth="1"/>
    <col min="10761" max="10761" width="19.33203125" style="9" customWidth="1"/>
    <col min="10762" max="10762" width="15" style="9" customWidth="1"/>
    <col min="10763" max="10763" width="9.6640625" style="9" bestFit="1" customWidth="1"/>
    <col min="10764" max="11010" width="8.6640625" style="9"/>
    <col min="11011" max="11012" width="10.6640625" style="9" customWidth="1"/>
    <col min="11013" max="11013" width="36.6640625" style="9" customWidth="1"/>
    <col min="11014" max="11014" width="35.44140625" style="9" customWidth="1"/>
    <col min="11015" max="11015" width="14.109375" style="9" customWidth="1"/>
    <col min="11016" max="11016" width="16" style="9" customWidth="1"/>
    <col min="11017" max="11017" width="19.33203125" style="9" customWidth="1"/>
    <col min="11018" max="11018" width="15" style="9" customWidth="1"/>
    <col min="11019" max="11019" width="9.6640625" style="9" bestFit="1" customWidth="1"/>
    <col min="11020" max="11266" width="8.6640625" style="9"/>
    <col min="11267" max="11268" width="10.6640625" style="9" customWidth="1"/>
    <col min="11269" max="11269" width="36.6640625" style="9" customWidth="1"/>
    <col min="11270" max="11270" width="35.44140625" style="9" customWidth="1"/>
    <col min="11271" max="11271" width="14.109375" style="9" customWidth="1"/>
    <col min="11272" max="11272" width="16" style="9" customWidth="1"/>
    <col min="11273" max="11273" width="19.33203125" style="9" customWidth="1"/>
    <col min="11274" max="11274" width="15" style="9" customWidth="1"/>
    <col min="11275" max="11275" width="9.6640625" style="9" bestFit="1" customWidth="1"/>
    <col min="11276" max="11522" width="8.6640625" style="9"/>
    <col min="11523" max="11524" width="10.6640625" style="9" customWidth="1"/>
    <col min="11525" max="11525" width="36.6640625" style="9" customWidth="1"/>
    <col min="11526" max="11526" width="35.44140625" style="9" customWidth="1"/>
    <col min="11527" max="11527" width="14.109375" style="9" customWidth="1"/>
    <col min="11528" max="11528" width="16" style="9" customWidth="1"/>
    <col min="11529" max="11529" width="19.33203125" style="9" customWidth="1"/>
    <col min="11530" max="11530" width="15" style="9" customWidth="1"/>
    <col min="11531" max="11531" width="9.6640625" style="9" bestFit="1" customWidth="1"/>
    <col min="11532" max="11778" width="8.6640625" style="9"/>
    <col min="11779" max="11780" width="10.6640625" style="9" customWidth="1"/>
    <col min="11781" max="11781" width="36.6640625" style="9" customWidth="1"/>
    <col min="11782" max="11782" width="35.44140625" style="9" customWidth="1"/>
    <col min="11783" max="11783" width="14.109375" style="9" customWidth="1"/>
    <col min="11784" max="11784" width="16" style="9" customWidth="1"/>
    <col min="11785" max="11785" width="19.33203125" style="9" customWidth="1"/>
    <col min="11786" max="11786" width="15" style="9" customWidth="1"/>
    <col min="11787" max="11787" width="9.6640625" style="9" bestFit="1" customWidth="1"/>
    <col min="11788" max="12034" width="8.6640625" style="9"/>
    <col min="12035" max="12036" width="10.6640625" style="9" customWidth="1"/>
    <col min="12037" max="12037" width="36.6640625" style="9" customWidth="1"/>
    <col min="12038" max="12038" width="35.44140625" style="9" customWidth="1"/>
    <col min="12039" max="12039" width="14.109375" style="9" customWidth="1"/>
    <col min="12040" max="12040" width="16" style="9" customWidth="1"/>
    <col min="12041" max="12041" width="19.33203125" style="9" customWidth="1"/>
    <col min="12042" max="12042" width="15" style="9" customWidth="1"/>
    <col min="12043" max="12043" width="9.6640625" style="9" bestFit="1" customWidth="1"/>
    <col min="12044" max="12290" width="8.6640625" style="9"/>
    <col min="12291" max="12292" width="10.6640625" style="9" customWidth="1"/>
    <col min="12293" max="12293" width="36.6640625" style="9" customWidth="1"/>
    <col min="12294" max="12294" width="35.44140625" style="9" customWidth="1"/>
    <col min="12295" max="12295" width="14.109375" style="9" customWidth="1"/>
    <col min="12296" max="12296" width="16" style="9" customWidth="1"/>
    <col min="12297" max="12297" width="19.33203125" style="9" customWidth="1"/>
    <col min="12298" max="12298" width="15" style="9" customWidth="1"/>
    <col min="12299" max="12299" width="9.6640625" style="9" bestFit="1" customWidth="1"/>
    <col min="12300" max="12546" width="8.6640625" style="9"/>
    <col min="12547" max="12548" width="10.6640625" style="9" customWidth="1"/>
    <col min="12549" max="12549" width="36.6640625" style="9" customWidth="1"/>
    <col min="12550" max="12550" width="35.44140625" style="9" customWidth="1"/>
    <col min="12551" max="12551" width="14.109375" style="9" customWidth="1"/>
    <col min="12552" max="12552" width="16" style="9" customWidth="1"/>
    <col min="12553" max="12553" width="19.33203125" style="9" customWidth="1"/>
    <col min="12554" max="12554" width="15" style="9" customWidth="1"/>
    <col min="12555" max="12555" width="9.6640625" style="9" bestFit="1" customWidth="1"/>
    <col min="12556" max="12802" width="8.6640625" style="9"/>
    <col min="12803" max="12804" width="10.6640625" style="9" customWidth="1"/>
    <col min="12805" max="12805" width="36.6640625" style="9" customWidth="1"/>
    <col min="12806" max="12806" width="35.44140625" style="9" customWidth="1"/>
    <col min="12807" max="12807" width="14.109375" style="9" customWidth="1"/>
    <col min="12808" max="12808" width="16" style="9" customWidth="1"/>
    <col min="12809" max="12809" width="19.33203125" style="9" customWidth="1"/>
    <col min="12810" max="12810" width="15" style="9" customWidth="1"/>
    <col min="12811" max="12811" width="9.6640625" style="9" bestFit="1" customWidth="1"/>
    <col min="12812" max="13058" width="8.6640625" style="9"/>
    <col min="13059" max="13060" width="10.6640625" style="9" customWidth="1"/>
    <col min="13061" max="13061" width="36.6640625" style="9" customWidth="1"/>
    <col min="13062" max="13062" width="35.44140625" style="9" customWidth="1"/>
    <col min="13063" max="13063" width="14.109375" style="9" customWidth="1"/>
    <col min="13064" max="13064" width="16" style="9" customWidth="1"/>
    <col min="13065" max="13065" width="19.33203125" style="9" customWidth="1"/>
    <col min="13066" max="13066" width="15" style="9" customWidth="1"/>
    <col min="13067" max="13067" width="9.6640625" style="9" bestFit="1" customWidth="1"/>
    <col min="13068" max="13314" width="8.6640625" style="9"/>
    <col min="13315" max="13316" width="10.6640625" style="9" customWidth="1"/>
    <col min="13317" max="13317" width="36.6640625" style="9" customWidth="1"/>
    <col min="13318" max="13318" width="35.44140625" style="9" customWidth="1"/>
    <col min="13319" max="13319" width="14.109375" style="9" customWidth="1"/>
    <col min="13320" max="13320" width="16" style="9" customWidth="1"/>
    <col min="13321" max="13321" width="19.33203125" style="9" customWidth="1"/>
    <col min="13322" max="13322" width="15" style="9" customWidth="1"/>
    <col min="13323" max="13323" width="9.6640625" style="9" bestFit="1" customWidth="1"/>
    <col min="13324" max="13570" width="8.6640625" style="9"/>
    <col min="13571" max="13572" width="10.6640625" style="9" customWidth="1"/>
    <col min="13573" max="13573" width="36.6640625" style="9" customWidth="1"/>
    <col min="13574" max="13574" width="35.44140625" style="9" customWidth="1"/>
    <col min="13575" max="13575" width="14.109375" style="9" customWidth="1"/>
    <col min="13576" max="13576" width="16" style="9" customWidth="1"/>
    <col min="13577" max="13577" width="19.33203125" style="9" customWidth="1"/>
    <col min="13578" max="13578" width="15" style="9" customWidth="1"/>
    <col min="13579" max="13579" width="9.6640625" style="9" bestFit="1" customWidth="1"/>
    <col min="13580" max="13826" width="8.6640625" style="9"/>
    <col min="13827" max="13828" width="10.6640625" style="9" customWidth="1"/>
    <col min="13829" max="13829" width="36.6640625" style="9" customWidth="1"/>
    <col min="13830" max="13830" width="35.44140625" style="9" customWidth="1"/>
    <col min="13831" max="13831" width="14.109375" style="9" customWidth="1"/>
    <col min="13832" max="13832" width="16" style="9" customWidth="1"/>
    <col min="13833" max="13833" width="19.33203125" style="9" customWidth="1"/>
    <col min="13834" max="13834" width="15" style="9" customWidth="1"/>
    <col min="13835" max="13835" width="9.6640625" style="9" bestFit="1" customWidth="1"/>
    <col min="13836" max="14082" width="8.6640625" style="9"/>
    <col min="14083" max="14084" width="10.6640625" style="9" customWidth="1"/>
    <col min="14085" max="14085" width="36.6640625" style="9" customWidth="1"/>
    <col min="14086" max="14086" width="35.44140625" style="9" customWidth="1"/>
    <col min="14087" max="14087" width="14.109375" style="9" customWidth="1"/>
    <col min="14088" max="14088" width="16" style="9" customWidth="1"/>
    <col min="14089" max="14089" width="19.33203125" style="9" customWidth="1"/>
    <col min="14090" max="14090" width="15" style="9" customWidth="1"/>
    <col min="14091" max="14091" width="9.6640625" style="9" bestFit="1" customWidth="1"/>
    <col min="14092" max="14338" width="8.6640625" style="9"/>
    <col min="14339" max="14340" width="10.6640625" style="9" customWidth="1"/>
    <col min="14341" max="14341" width="36.6640625" style="9" customWidth="1"/>
    <col min="14342" max="14342" width="35.44140625" style="9" customWidth="1"/>
    <col min="14343" max="14343" width="14.109375" style="9" customWidth="1"/>
    <col min="14344" max="14344" width="16" style="9" customWidth="1"/>
    <col min="14345" max="14345" width="19.33203125" style="9" customWidth="1"/>
    <col min="14346" max="14346" width="15" style="9" customWidth="1"/>
    <col min="14347" max="14347" width="9.6640625" style="9" bestFit="1" customWidth="1"/>
    <col min="14348" max="14594" width="8.6640625" style="9"/>
    <col min="14595" max="14596" width="10.6640625" style="9" customWidth="1"/>
    <col min="14597" max="14597" width="36.6640625" style="9" customWidth="1"/>
    <col min="14598" max="14598" width="35.44140625" style="9" customWidth="1"/>
    <col min="14599" max="14599" width="14.109375" style="9" customWidth="1"/>
    <col min="14600" max="14600" width="16" style="9" customWidth="1"/>
    <col min="14601" max="14601" width="19.33203125" style="9" customWidth="1"/>
    <col min="14602" max="14602" width="15" style="9" customWidth="1"/>
    <col min="14603" max="14603" width="9.6640625" style="9" bestFit="1" customWidth="1"/>
    <col min="14604" max="14850" width="8.6640625" style="9"/>
    <col min="14851" max="14852" width="10.6640625" style="9" customWidth="1"/>
    <col min="14853" max="14853" width="36.6640625" style="9" customWidth="1"/>
    <col min="14854" max="14854" width="35.44140625" style="9" customWidth="1"/>
    <col min="14855" max="14855" width="14.109375" style="9" customWidth="1"/>
    <col min="14856" max="14856" width="16" style="9" customWidth="1"/>
    <col min="14857" max="14857" width="19.33203125" style="9" customWidth="1"/>
    <col min="14858" max="14858" width="15" style="9" customWidth="1"/>
    <col min="14859" max="14859" width="9.6640625" style="9" bestFit="1" customWidth="1"/>
    <col min="14860" max="15106" width="8.6640625" style="9"/>
    <col min="15107" max="15108" width="10.6640625" style="9" customWidth="1"/>
    <col min="15109" max="15109" width="36.6640625" style="9" customWidth="1"/>
    <col min="15110" max="15110" width="35.44140625" style="9" customWidth="1"/>
    <col min="15111" max="15111" width="14.109375" style="9" customWidth="1"/>
    <col min="15112" max="15112" width="16" style="9" customWidth="1"/>
    <col min="15113" max="15113" width="19.33203125" style="9" customWidth="1"/>
    <col min="15114" max="15114" width="15" style="9" customWidth="1"/>
    <col min="15115" max="15115" width="9.6640625" style="9" bestFit="1" customWidth="1"/>
    <col min="15116" max="15362" width="8.6640625" style="9"/>
    <col min="15363" max="15364" width="10.6640625" style="9" customWidth="1"/>
    <col min="15365" max="15365" width="36.6640625" style="9" customWidth="1"/>
    <col min="15366" max="15366" width="35.44140625" style="9" customWidth="1"/>
    <col min="15367" max="15367" width="14.109375" style="9" customWidth="1"/>
    <col min="15368" max="15368" width="16" style="9" customWidth="1"/>
    <col min="15369" max="15369" width="19.33203125" style="9" customWidth="1"/>
    <col min="15370" max="15370" width="15" style="9" customWidth="1"/>
    <col min="15371" max="15371" width="9.6640625" style="9" bestFit="1" customWidth="1"/>
    <col min="15372" max="15618" width="8.6640625" style="9"/>
    <col min="15619" max="15620" width="10.6640625" style="9" customWidth="1"/>
    <col min="15621" max="15621" width="36.6640625" style="9" customWidth="1"/>
    <col min="15622" max="15622" width="35.44140625" style="9" customWidth="1"/>
    <col min="15623" max="15623" width="14.109375" style="9" customWidth="1"/>
    <col min="15624" max="15624" width="16" style="9" customWidth="1"/>
    <col min="15625" max="15625" width="19.33203125" style="9" customWidth="1"/>
    <col min="15626" max="15626" width="15" style="9" customWidth="1"/>
    <col min="15627" max="15627" width="9.6640625" style="9" bestFit="1" customWidth="1"/>
    <col min="15628" max="15874" width="8.6640625" style="9"/>
    <col min="15875" max="15876" width="10.6640625" style="9" customWidth="1"/>
    <col min="15877" max="15877" width="36.6640625" style="9" customWidth="1"/>
    <col min="15878" max="15878" width="35.44140625" style="9" customWidth="1"/>
    <col min="15879" max="15879" width="14.109375" style="9" customWidth="1"/>
    <col min="15880" max="15880" width="16" style="9" customWidth="1"/>
    <col min="15881" max="15881" width="19.33203125" style="9" customWidth="1"/>
    <col min="15882" max="15882" width="15" style="9" customWidth="1"/>
    <col min="15883" max="15883" width="9.6640625" style="9" bestFit="1" customWidth="1"/>
    <col min="15884" max="16130" width="8.6640625" style="9"/>
    <col min="16131" max="16132" width="10.6640625" style="9" customWidth="1"/>
    <col min="16133" max="16133" width="36.6640625" style="9" customWidth="1"/>
    <col min="16134" max="16134" width="35.44140625" style="9" customWidth="1"/>
    <col min="16135" max="16135" width="14.109375" style="9" customWidth="1"/>
    <col min="16136" max="16136" width="16" style="9" customWidth="1"/>
    <col min="16137" max="16137" width="19.33203125" style="9" customWidth="1"/>
    <col min="16138" max="16138" width="15" style="9" customWidth="1"/>
    <col min="16139" max="16139" width="9.6640625" style="9" bestFit="1" customWidth="1"/>
    <col min="16140" max="16384" width="8.6640625" style="9"/>
  </cols>
  <sheetData>
    <row r="1" spans="1:12" ht="16.2" thickBot="1">
      <c r="A1" s="505" t="s">
        <v>444</v>
      </c>
      <c r="B1" s="506"/>
      <c r="C1" s="506"/>
      <c r="D1" s="506"/>
      <c r="E1" s="506"/>
      <c r="F1" s="506"/>
      <c r="G1" s="507"/>
      <c r="H1" s="507"/>
      <c r="I1" s="508"/>
    </row>
    <row r="2" spans="1:12" ht="78.75" customHeight="1" thickBot="1">
      <c r="A2" s="509" t="s">
        <v>114</v>
      </c>
      <c r="B2" s="510"/>
      <c r="C2" s="511" t="str">
        <f>Resumo!E9&amp;CHAR(10)&amp;Resumo!E10&amp;CHAR(10)&amp;Resumo!E11</f>
        <v>BR-116/PR/SC (PLANALTO SUL)
BR-376/PR - BR-101/SC (LITORAL SUL)
BR-101/SC (ViaCosteira)</v>
      </c>
      <c r="D2" s="512"/>
      <c r="E2" s="513"/>
      <c r="F2" s="514" t="s">
        <v>471</v>
      </c>
      <c r="G2" s="515"/>
      <c r="H2" s="515"/>
      <c r="I2" s="516"/>
      <c r="L2" s="11"/>
    </row>
    <row r="3" spans="1:12" ht="16.2" thickBot="1">
      <c r="A3" s="520" t="s">
        <v>11</v>
      </c>
      <c r="B3" s="521"/>
      <c r="C3" s="522">
        <f>SUM(Resumo!G9:G11)</f>
        <v>1039.02</v>
      </c>
      <c r="D3" s="522"/>
      <c r="E3" s="523"/>
      <c r="F3" s="517"/>
      <c r="G3" s="518"/>
      <c r="H3" s="518"/>
      <c r="I3" s="519"/>
      <c r="J3" s="12"/>
      <c r="L3" s="13"/>
    </row>
    <row r="4" spans="1:12">
      <c r="A4" s="14"/>
      <c r="B4" s="14"/>
      <c r="C4" s="15"/>
      <c r="D4" s="16"/>
      <c r="E4" s="14"/>
      <c r="F4" s="14"/>
      <c r="G4" s="14"/>
      <c r="H4" s="14"/>
      <c r="I4" s="14"/>
    </row>
    <row r="5" spans="1:12" ht="15" thickBot="1">
      <c r="A5" s="17"/>
      <c r="B5" s="17"/>
      <c r="C5" s="17"/>
      <c r="D5" s="18"/>
      <c r="E5" s="17"/>
      <c r="F5" s="17"/>
      <c r="G5" s="17"/>
      <c r="H5" s="17"/>
      <c r="I5" s="17"/>
      <c r="J5" s="19"/>
      <c r="L5" s="20"/>
    </row>
    <row r="6" spans="1:12" ht="31.5" customHeight="1">
      <c r="A6" s="134" t="s">
        <v>12</v>
      </c>
      <c r="B6" s="135" t="s">
        <v>13</v>
      </c>
      <c r="C6" s="136" t="s">
        <v>14</v>
      </c>
      <c r="D6" s="136" t="s">
        <v>15</v>
      </c>
      <c r="E6" s="137" t="s">
        <v>16</v>
      </c>
      <c r="F6" s="137" t="s">
        <v>17</v>
      </c>
      <c r="G6" s="262" t="s">
        <v>255</v>
      </c>
      <c r="H6" s="262" t="s">
        <v>254</v>
      </c>
      <c r="I6" s="138" t="s">
        <v>18</v>
      </c>
      <c r="J6" s="21"/>
      <c r="K6" s="151"/>
      <c r="L6" s="22"/>
    </row>
    <row r="7" spans="1:12">
      <c r="A7" s="23"/>
      <c r="B7" s="24"/>
      <c r="C7" s="25" t="s">
        <v>19</v>
      </c>
      <c r="D7" s="26"/>
      <c r="E7" s="25"/>
      <c r="F7" s="25"/>
      <c r="G7" s="277"/>
      <c r="H7" s="290">
        <f>H9+H26+H29+H33+H36+H43+H12+H19+H22+H40</f>
        <v>27036.858649999998</v>
      </c>
      <c r="I7" s="27">
        <f>I9+I26+I29+I33+I36+I43+I12+I19+I22+I40</f>
        <v>139904.87385515001</v>
      </c>
      <c r="J7" s="21"/>
      <c r="L7" s="28"/>
    </row>
    <row r="8" spans="1:12">
      <c r="A8" s="23"/>
      <c r="B8" s="24">
        <v>1</v>
      </c>
      <c r="C8" s="165" t="s">
        <v>20</v>
      </c>
      <c r="D8" s="113"/>
      <c r="E8" s="29"/>
      <c r="F8" s="30"/>
      <c r="G8" s="278"/>
      <c r="H8" s="290"/>
      <c r="I8" s="166"/>
      <c r="L8" s="31"/>
    </row>
    <row r="9" spans="1:12">
      <c r="A9" s="23"/>
      <c r="B9" s="24" t="s">
        <v>21</v>
      </c>
      <c r="C9" s="165" t="s">
        <v>22</v>
      </c>
      <c r="D9" s="113"/>
      <c r="E9" s="29"/>
      <c r="F9" s="30"/>
      <c r="G9" s="278"/>
      <c r="H9" s="290">
        <f>H10</f>
        <v>698.04808899999989</v>
      </c>
      <c r="I9" s="166">
        <f>I10</f>
        <v>829.82416666666654</v>
      </c>
      <c r="L9" s="31"/>
    </row>
    <row r="10" spans="1:12">
      <c r="A10" s="32" t="s">
        <v>641</v>
      </c>
      <c r="B10" s="33" t="s">
        <v>24</v>
      </c>
      <c r="C10" s="167" t="str">
        <f>VLOOKUP(A10,'Planilha base'!$C$11:$K$35,9,FALSE)</f>
        <v>Engenheiro consultor especial</v>
      </c>
      <c r="D10" s="36" t="s">
        <v>25</v>
      </c>
      <c r="E10" s="29">
        <f>1/24</f>
        <v>4.1666666666666664E-2</v>
      </c>
      <c r="F10" s="43">
        <f>VLOOKUP(A10,'Planilha base'!$C$11:$K$35,6,FALSE)</f>
        <v>19915.78</v>
      </c>
      <c r="G10" s="205">
        <f>VLOOKUP(A10,'Planilha base'!$C$11:$K$35,4,FALSE)</f>
        <v>0.84119999999999995</v>
      </c>
      <c r="H10" s="287">
        <f>E10*F10*G10</f>
        <v>698.04808899999989</v>
      </c>
      <c r="I10" s="168">
        <f>E10*F10</f>
        <v>829.82416666666654</v>
      </c>
      <c r="K10" s="152"/>
      <c r="L10" s="31"/>
    </row>
    <row r="11" spans="1:12">
      <c r="A11" s="23"/>
      <c r="B11" s="24"/>
      <c r="C11" s="165"/>
      <c r="D11" s="113"/>
      <c r="E11" s="29"/>
      <c r="F11" s="30"/>
      <c r="G11" s="278"/>
      <c r="H11" s="290"/>
      <c r="I11" s="166"/>
      <c r="L11" s="31"/>
    </row>
    <row r="12" spans="1:12">
      <c r="A12" s="23"/>
      <c r="B12" s="24" t="s">
        <v>26</v>
      </c>
      <c r="C12" s="35" t="s">
        <v>27</v>
      </c>
      <c r="D12" s="36"/>
      <c r="E12" s="29"/>
      <c r="F12" s="169"/>
      <c r="G12" s="255"/>
      <c r="H12" s="290">
        <f>SUM(H13:H17)</f>
        <v>17771.598026</v>
      </c>
      <c r="I12" s="170">
        <f>SUM(I13:I17)</f>
        <v>20133.86</v>
      </c>
      <c r="L12" s="31"/>
    </row>
    <row r="13" spans="1:12">
      <c r="A13" s="32" t="s">
        <v>643</v>
      </c>
      <c r="B13" s="33" t="s">
        <v>29</v>
      </c>
      <c r="C13" s="167" t="str">
        <f>VLOOKUP(A13,'Planilha base'!$C$11:$K$35,9,FALSE)</f>
        <v>Engenheiro coordenador</v>
      </c>
      <c r="D13" s="36" t="s">
        <v>30</v>
      </c>
      <c r="E13" s="29">
        <v>1</v>
      </c>
      <c r="F13" s="43">
        <f>VLOOKUP(A13,'Planilha base'!$C$11:$K$35,6,FALSE)</f>
        <v>16596.48</v>
      </c>
      <c r="G13" s="205">
        <f>VLOOKUP(A13,'Planilha base'!$C$11:$K$35,4,FALSE)</f>
        <v>0.8498</v>
      </c>
      <c r="H13" s="287">
        <f>E13*F13*G13</f>
        <v>14103.688704</v>
      </c>
      <c r="I13" s="168">
        <f>E13*F13</f>
        <v>16596.48</v>
      </c>
      <c r="K13" s="152"/>
      <c r="L13" s="31"/>
    </row>
    <row r="14" spans="1:12">
      <c r="A14" s="32" t="s">
        <v>655</v>
      </c>
      <c r="B14" s="33" t="s">
        <v>32</v>
      </c>
      <c r="C14" s="167" t="str">
        <f>VLOOKUP(A14,'Planilha base'!$C$11:$K$35,9,FALSE)</f>
        <v>Engenheiro de projetos sênior</v>
      </c>
      <c r="D14" s="36" t="s">
        <v>30</v>
      </c>
      <c r="E14" s="29">
        <v>0</v>
      </c>
      <c r="F14" s="43">
        <f>VLOOKUP(A14,'Planilha base'!$C$11:$K$35,6,FALSE)</f>
        <v>13887.45</v>
      </c>
      <c r="G14" s="205">
        <f>VLOOKUP(A14,'Planilha base'!$C$11:$K$35,4,FALSE)</f>
        <v>0.86</v>
      </c>
      <c r="H14" s="287">
        <f t="shared" ref="H14:H17" si="0">E14*F14*G14</f>
        <v>0</v>
      </c>
      <c r="I14" s="168">
        <f t="shared" ref="I14:I17" si="1">E14*F14</f>
        <v>0</v>
      </c>
      <c r="K14" s="152"/>
      <c r="L14" s="31"/>
    </row>
    <row r="15" spans="1:12">
      <c r="A15" s="32" t="s">
        <v>653</v>
      </c>
      <c r="B15" s="33" t="s">
        <v>34</v>
      </c>
      <c r="C15" s="167" t="str">
        <f>VLOOKUP(A15,'Planilha base'!$C$11:$K$35,9,FALSE)</f>
        <v>Engenheiro de projetos pleno</v>
      </c>
      <c r="D15" s="36" t="s">
        <v>30</v>
      </c>
      <c r="E15" s="29">
        <v>0</v>
      </c>
      <c r="F15" s="43">
        <f>VLOOKUP(A15,'Planilha base'!$C$11:$K$35,6,FALSE)</f>
        <v>10528.02</v>
      </c>
      <c r="G15" s="205">
        <f>VLOOKUP(A15,'Planilha base'!$C$11:$K$35,4,FALSE)</f>
        <v>0.87970000000000004</v>
      </c>
      <c r="H15" s="287">
        <f t="shared" si="0"/>
        <v>0</v>
      </c>
      <c r="I15" s="168">
        <f t="shared" si="1"/>
        <v>0</v>
      </c>
      <c r="K15" s="152"/>
      <c r="L15" s="31"/>
    </row>
    <row r="16" spans="1:12">
      <c r="A16" s="32" t="s">
        <v>651</v>
      </c>
      <c r="B16" s="33" t="s">
        <v>36</v>
      </c>
      <c r="C16" s="167" t="str">
        <f>VLOOKUP(A16,'Planilha base'!$C$11:$K$35,9,FALSE)</f>
        <v>Engenheiro de projetos júnior</v>
      </c>
      <c r="D16" s="36" t="s">
        <v>30</v>
      </c>
      <c r="E16" s="29">
        <v>0</v>
      </c>
      <c r="F16" s="43">
        <f>VLOOKUP(A16,'Planilha base'!$C$11:$K$35,6,FALSE)</f>
        <v>9350</v>
      </c>
      <c r="G16" s="205">
        <f>VLOOKUP(A16,'Planilha base'!$C$11:$K$35,4,FALSE)</f>
        <v>0.89</v>
      </c>
      <c r="H16" s="287">
        <f t="shared" si="0"/>
        <v>0</v>
      </c>
      <c r="I16" s="168">
        <f t="shared" si="1"/>
        <v>0</v>
      </c>
      <c r="K16" s="152"/>
      <c r="L16" s="31"/>
    </row>
    <row r="17" spans="1:13">
      <c r="A17" s="32" t="s">
        <v>607</v>
      </c>
      <c r="B17" s="33" t="s">
        <v>37</v>
      </c>
      <c r="C17" s="167" t="str">
        <f>VLOOKUP(A17,'Planilha base'!$C$11:$K$35,9,FALSE)</f>
        <v>Chefe de escritório</v>
      </c>
      <c r="D17" s="36" t="s">
        <v>30</v>
      </c>
      <c r="E17" s="29">
        <v>1</v>
      </c>
      <c r="F17" s="43">
        <f>VLOOKUP(A17,'Planilha base'!$C$11:$K$35,6,FALSE)</f>
        <v>3537.38</v>
      </c>
      <c r="G17" s="205">
        <f>VLOOKUP(A17,'Planilha base'!$C$11:$K$35,4,FALSE)</f>
        <v>1.0368999999999999</v>
      </c>
      <c r="H17" s="287">
        <f t="shared" si="0"/>
        <v>3667.909322</v>
      </c>
      <c r="I17" s="168">
        <f t="shared" si="1"/>
        <v>3537.38</v>
      </c>
      <c r="K17" s="152"/>
      <c r="L17" s="31"/>
    </row>
    <row r="18" spans="1:13">
      <c r="A18" s="32"/>
      <c r="B18" s="33"/>
      <c r="C18" s="37"/>
      <c r="D18" s="36"/>
      <c r="E18" s="29"/>
      <c r="F18" s="171"/>
      <c r="G18" s="279"/>
      <c r="H18" s="291"/>
      <c r="I18" s="168"/>
      <c r="L18" s="31"/>
    </row>
    <row r="19" spans="1:13">
      <c r="A19" s="23"/>
      <c r="B19" s="24" t="s">
        <v>38</v>
      </c>
      <c r="C19" s="35" t="s">
        <v>39</v>
      </c>
      <c r="D19" s="36"/>
      <c r="E19" s="29"/>
      <c r="F19" s="171"/>
      <c r="G19" s="279"/>
      <c r="H19" s="292">
        <f>SUM(H20:H20)</f>
        <v>0</v>
      </c>
      <c r="I19" s="170">
        <f>SUM(I20:I20)</f>
        <v>0</v>
      </c>
      <c r="L19" s="31"/>
    </row>
    <row r="20" spans="1:13">
      <c r="A20" s="32" t="s">
        <v>719</v>
      </c>
      <c r="B20" s="33" t="s">
        <v>40</v>
      </c>
      <c r="C20" s="167" t="str">
        <f>VLOOKUP(A20,'Planilha base'!$C$11:$K$35,9,FALSE)</f>
        <v>Técnico de obras</v>
      </c>
      <c r="D20" s="36" t="s">
        <v>30</v>
      </c>
      <c r="E20" s="29">
        <v>0</v>
      </c>
      <c r="F20" s="43">
        <f>VLOOKUP(A20,'Planilha base'!$C$11:$K$35,6,FALSE)</f>
        <v>2436.42</v>
      </c>
      <c r="G20" s="205">
        <f>VLOOKUP(A20,'Planilha base'!$C$11:$K$35,4,FALSE)</f>
        <v>1.0971</v>
      </c>
      <c r="H20" s="287">
        <f t="shared" ref="H20" si="2">E20*F20*G20</f>
        <v>0</v>
      </c>
      <c r="I20" s="168">
        <f>E20*F20</f>
        <v>0</v>
      </c>
      <c r="K20" s="152"/>
      <c r="L20" s="31"/>
    </row>
    <row r="21" spans="1:13">
      <c r="A21" s="32"/>
      <c r="B21" s="33"/>
      <c r="C21" s="37"/>
      <c r="D21" s="36"/>
      <c r="E21" s="29"/>
      <c r="F21" s="171"/>
      <c r="G21" s="279"/>
      <c r="H21" s="291"/>
      <c r="I21" s="168"/>
      <c r="L21" s="31"/>
    </row>
    <row r="22" spans="1:13">
      <c r="A22" s="32"/>
      <c r="B22" s="24" t="s">
        <v>43</v>
      </c>
      <c r="C22" s="35" t="s">
        <v>44</v>
      </c>
      <c r="D22" s="36"/>
      <c r="E22" s="29"/>
      <c r="F22" s="171"/>
      <c r="G22" s="279"/>
      <c r="H22" s="292">
        <f>SUM(H23:H24)</f>
        <v>8567.2125349999988</v>
      </c>
      <c r="I22" s="170">
        <f>SUM(I23:I24)</f>
        <v>6898.22</v>
      </c>
      <c r="L22" s="31"/>
    </row>
    <row r="23" spans="1:13">
      <c r="A23" s="32" t="s">
        <v>713</v>
      </c>
      <c r="B23" s="33" t="s">
        <v>46</v>
      </c>
      <c r="C23" s="167" t="str">
        <f>VLOOKUP(A23,'Planilha base'!$C$11:$K$35,9,FALSE)</f>
        <v>Secretária</v>
      </c>
      <c r="D23" s="36" t="s">
        <v>30</v>
      </c>
      <c r="E23" s="29">
        <v>1</v>
      </c>
      <c r="F23" s="43">
        <f>VLOOKUP(A23,'Planilha base'!$C$11:$K$35,6,FALSE)</f>
        <v>5326.83</v>
      </c>
      <c r="G23" s="205">
        <f>VLOOKUP(A23,'Planilha base'!$C$11:$K$35,4,FALSE)</f>
        <v>1.1964999999999999</v>
      </c>
      <c r="H23" s="287">
        <f t="shared" ref="H23:H24" si="3">E23*F23*G23</f>
        <v>6373.5520949999991</v>
      </c>
      <c r="I23" s="168">
        <f>E23*F23</f>
        <v>5326.83</v>
      </c>
      <c r="K23" s="152"/>
      <c r="L23" s="31"/>
    </row>
    <row r="24" spans="1:13">
      <c r="A24" s="32" t="s">
        <v>595</v>
      </c>
      <c r="B24" s="33" t="s">
        <v>49</v>
      </c>
      <c r="C24" s="167" t="str">
        <f>VLOOKUP(A24,'Planilha base'!$C$11:$K$35,9,FALSE)</f>
        <v>Auxiliar administrativo</v>
      </c>
      <c r="D24" s="36" t="s">
        <v>30</v>
      </c>
      <c r="E24" s="29">
        <v>1</v>
      </c>
      <c r="F24" s="43">
        <f>VLOOKUP(A24,'Planilha base'!$C$11:$K$35,6,FALSE)</f>
        <v>1571.39</v>
      </c>
      <c r="G24" s="205">
        <f>VLOOKUP(A24,'Planilha base'!$C$11:$K$35,4,FALSE)</f>
        <v>1.3959999999999999</v>
      </c>
      <c r="H24" s="287">
        <f t="shared" si="3"/>
        <v>2193.6604400000001</v>
      </c>
      <c r="I24" s="168">
        <f>E24*F24</f>
        <v>1571.39</v>
      </c>
      <c r="K24" s="152"/>
      <c r="L24" s="31"/>
    </row>
    <row r="25" spans="1:13">
      <c r="A25" s="32"/>
      <c r="B25" s="33"/>
      <c r="C25" s="172"/>
      <c r="D25" s="172"/>
      <c r="E25" s="29"/>
      <c r="F25" s="173"/>
      <c r="G25" s="280"/>
      <c r="H25" s="288"/>
      <c r="I25" s="170"/>
      <c r="L25" s="31"/>
    </row>
    <row r="26" spans="1:13">
      <c r="A26" s="23"/>
      <c r="B26" s="24">
        <v>2</v>
      </c>
      <c r="C26" s="35" t="s">
        <v>334</v>
      </c>
      <c r="D26" s="39"/>
      <c r="E26" s="29"/>
      <c r="F26" s="115"/>
      <c r="G26" s="281"/>
      <c r="H26" s="288">
        <f>H27</f>
        <v>0</v>
      </c>
      <c r="I26" s="170">
        <f>I27</f>
        <v>13242.165626233333</v>
      </c>
      <c r="L26" s="31"/>
    </row>
    <row r="27" spans="1:13">
      <c r="A27" s="32"/>
      <c r="B27" s="33" t="s">
        <v>51</v>
      </c>
      <c r="C27" s="37" t="s">
        <v>334</v>
      </c>
      <c r="D27" s="38" t="s">
        <v>52</v>
      </c>
      <c r="E27" s="29">
        <f>(I22+I19+I12+I9)+(H9+H12+H19+H22)+I29+I33+I36+I40</f>
        <v>115955.91616666666</v>
      </c>
      <c r="F27" s="115">
        <f>'Planilha base'!H39</f>
        <v>0.1142</v>
      </c>
      <c r="G27" s="281"/>
      <c r="H27" s="287"/>
      <c r="I27" s="168">
        <f>E27*F27</f>
        <v>13242.165626233333</v>
      </c>
      <c r="L27" s="31"/>
    </row>
    <row r="28" spans="1:13">
      <c r="A28" s="23"/>
      <c r="B28" s="24"/>
      <c r="C28" s="35"/>
      <c r="D28" s="38"/>
      <c r="E28" s="29"/>
      <c r="F28" s="174"/>
      <c r="G28" s="282"/>
      <c r="H28" s="287"/>
      <c r="I28" s="170"/>
      <c r="L28" s="31"/>
    </row>
    <row r="29" spans="1:13" s="41" customFormat="1">
      <c r="A29" s="23"/>
      <c r="B29" s="24">
        <v>3</v>
      </c>
      <c r="C29" s="35" t="s">
        <v>55</v>
      </c>
      <c r="D29" s="39"/>
      <c r="E29" s="40"/>
      <c r="F29" s="175"/>
      <c r="G29" s="283"/>
      <c r="H29" s="288">
        <f>SUM(H30:H31)</f>
        <v>0</v>
      </c>
      <c r="I29" s="170">
        <f>SUM(I30:I31)</f>
        <v>5401.4795999999997</v>
      </c>
      <c r="K29" s="153"/>
      <c r="L29" s="31"/>
      <c r="M29" s="42"/>
    </row>
    <row r="30" spans="1:13">
      <c r="A30" s="32" t="s">
        <v>742</v>
      </c>
      <c r="B30" s="33" t="s">
        <v>54</v>
      </c>
      <c r="C30" s="167" t="str">
        <f>VLOOKUP(A30,'Planilha base'!$C$11:$K$35,9,FALSE)</f>
        <v>Veículo leve - tipo hatch - (sem motorista)</v>
      </c>
      <c r="D30" s="36" t="s">
        <v>57</v>
      </c>
      <c r="E30" s="29">
        <v>2</v>
      </c>
      <c r="F30" s="43">
        <f>VLOOKUP(A30,'Planilha base'!$C$11:$K$35,6,FALSE)</f>
        <v>2700.7397999999998</v>
      </c>
      <c r="G30" s="284"/>
      <c r="H30" s="287"/>
      <c r="I30" s="168">
        <f>E30*F30</f>
        <v>5401.4795999999997</v>
      </c>
      <c r="K30" s="152"/>
      <c r="L30" s="31"/>
    </row>
    <row r="31" spans="1:13">
      <c r="A31" s="32" t="s">
        <v>743</v>
      </c>
      <c r="B31" s="33" t="s">
        <v>262</v>
      </c>
      <c r="C31" s="167" t="str">
        <f>VLOOKUP(A31,'Planilha base'!$C$11:$K$35,9,FALSE)</f>
        <v>Veículo leve - tipo pick up 4 x 4 - (sem motorista)</v>
      </c>
      <c r="D31" s="36" t="s">
        <v>57</v>
      </c>
      <c r="E31" s="29"/>
      <c r="F31" s="43">
        <f>VLOOKUP(A31,'Planilha base'!$C$11:$K$35,6,FALSE)</f>
        <v>6719.6316000000006</v>
      </c>
      <c r="G31" s="284"/>
      <c r="H31" s="287"/>
      <c r="I31" s="168">
        <f>E31*F31</f>
        <v>0</v>
      </c>
      <c r="K31" s="152"/>
      <c r="L31" s="31"/>
    </row>
    <row r="32" spans="1:13">
      <c r="A32" s="32"/>
      <c r="B32" s="33"/>
      <c r="C32" s="176"/>
      <c r="D32" s="38"/>
      <c r="E32" s="29"/>
      <c r="F32" s="43"/>
      <c r="G32" s="284"/>
      <c r="H32" s="287"/>
      <c r="I32" s="170"/>
      <c r="L32" s="31"/>
    </row>
    <row r="33" spans="1:12">
      <c r="A33" s="23"/>
      <c r="B33" s="24">
        <v>4</v>
      </c>
      <c r="C33" s="35" t="s">
        <v>252</v>
      </c>
      <c r="D33" s="39"/>
      <c r="E33" s="39"/>
      <c r="F33" s="44"/>
      <c r="G33" s="285"/>
      <c r="H33" s="288">
        <f>H34</f>
        <v>0</v>
      </c>
      <c r="I33" s="170">
        <f>I34</f>
        <v>4108.5</v>
      </c>
      <c r="K33" s="154"/>
      <c r="L33" s="31"/>
    </row>
    <row r="34" spans="1:12">
      <c r="A34" s="32" t="s">
        <v>744</v>
      </c>
      <c r="B34" s="33" t="s">
        <v>56</v>
      </c>
      <c r="C34" s="167" t="str">
        <f>VLOOKUP(A34,'Planilha base'!$C$11:$K$35,9,FALSE)</f>
        <v>Custos Diversos Escritório</v>
      </c>
      <c r="D34" s="36" t="s">
        <v>253</v>
      </c>
      <c r="E34" s="29">
        <f>ROUNDUP((((SUM($I$54:$I$58)/SUM($E$54:$E$58))+$F$59)/'Planilha base'!$H$38)+$E$13+$E$17+$E$23+$E$24,0)</f>
        <v>33</v>
      </c>
      <c r="F34" s="43">
        <f>VLOOKUP(A34,'Planilha base'!$C$11:$K$35,6,FALSE)</f>
        <v>124.5</v>
      </c>
      <c r="G34" s="284"/>
      <c r="H34" s="287"/>
      <c r="I34" s="168">
        <f>E34*F34</f>
        <v>4108.5</v>
      </c>
      <c r="K34" s="154"/>
      <c r="L34" s="31"/>
    </row>
    <row r="35" spans="1:12">
      <c r="A35" s="32"/>
      <c r="B35" s="33"/>
      <c r="C35" s="37"/>
      <c r="D35" s="38"/>
      <c r="E35" s="47"/>
      <c r="F35" s="43"/>
      <c r="G35" s="284"/>
      <c r="H35" s="287"/>
      <c r="I35" s="170"/>
      <c r="L35" s="31"/>
    </row>
    <row r="36" spans="1:12">
      <c r="A36" s="23"/>
      <c r="B36" s="24">
        <v>5</v>
      </c>
      <c r="C36" s="30" t="s">
        <v>59</v>
      </c>
      <c r="D36" s="39"/>
      <c r="E36" s="39"/>
      <c r="F36" s="44"/>
      <c r="G36" s="285"/>
      <c r="H36" s="288">
        <f>SUM(H37:H38)</f>
        <v>0</v>
      </c>
      <c r="I36" s="170">
        <f>SUM(I37:I38)</f>
        <v>24568.173749999998</v>
      </c>
      <c r="L36" s="31"/>
    </row>
    <row r="37" spans="1:12">
      <c r="A37" s="32" t="s">
        <v>745</v>
      </c>
      <c r="B37" s="33" t="s">
        <v>263</v>
      </c>
      <c r="C37" s="167" t="str">
        <f>VLOOKUP(A37,'Planilha base'!$C$11:$K$35,9,FALSE)</f>
        <v>Imóvel Comercial (2,32% do C.M.C.C - SINAPI)</v>
      </c>
      <c r="D37" s="36" t="s">
        <v>253</v>
      </c>
      <c r="E37" s="29">
        <f>ROUNDUP((((SUM($I$54:$I$58)/SUM($E$54:$E$58))+$F$59)/'Planilha base'!$H$38)+$E$13+$E$17+$E$23+$E$24,0)</f>
        <v>33</v>
      </c>
      <c r="F37" s="43">
        <f>VLOOKUP(A37,'Planilha base'!$C$11:$K$35,6,FALSE)</f>
        <v>40.049999999999997</v>
      </c>
      <c r="G37" s="284"/>
      <c r="H37" s="287"/>
      <c r="I37" s="168">
        <f>((57.95/2)+(4.5*E37))*F37</f>
        <v>7107.8737499999988</v>
      </c>
      <c r="K37" s="152"/>
      <c r="L37" s="31"/>
    </row>
    <row r="38" spans="1:12">
      <c r="A38" s="32" t="s">
        <v>746</v>
      </c>
      <c r="B38" s="33" t="s">
        <v>264</v>
      </c>
      <c r="C38" s="167" t="str">
        <f>VLOOKUP(A38,'Planilha base'!$C$11:$K$35,9,FALSE)</f>
        <v>Mobiliário Escritório</v>
      </c>
      <c r="D38" s="36" t="s">
        <v>253</v>
      </c>
      <c r="E38" s="29">
        <f>ROUNDUP((((SUM($I$54:$I$58)/SUM($E$54:$E$58))+$F$59)/'Planilha base'!$H$38)+$E$13+$E$17+$E$23+$E$24,0)</f>
        <v>33</v>
      </c>
      <c r="F38" s="43">
        <f>VLOOKUP(A38,'Planilha base'!$C$11:$K$35,6,FALSE)</f>
        <v>529.1</v>
      </c>
      <c r="G38" s="284"/>
      <c r="H38" s="287"/>
      <c r="I38" s="168">
        <f>E38*F38</f>
        <v>17460.3</v>
      </c>
      <c r="K38" s="152"/>
      <c r="L38" s="31"/>
    </row>
    <row r="39" spans="1:12">
      <c r="A39" s="32"/>
      <c r="B39" s="33"/>
      <c r="C39" s="37"/>
      <c r="D39" s="38"/>
      <c r="E39" s="47"/>
      <c r="F39" s="43"/>
      <c r="G39" s="284"/>
      <c r="H39" s="287"/>
      <c r="I39" s="170"/>
      <c r="K39" s="152"/>
    </row>
    <row r="40" spans="1:12">
      <c r="A40" s="32"/>
      <c r="B40" s="24">
        <v>6</v>
      </c>
      <c r="C40" s="35" t="s">
        <v>63</v>
      </c>
      <c r="D40" s="38"/>
      <c r="E40" s="47"/>
      <c r="F40" s="43"/>
      <c r="G40" s="284"/>
      <c r="H40" s="288">
        <f>SUM(H41:H41)</f>
        <v>0</v>
      </c>
      <c r="I40" s="170">
        <f>SUM(I41:I41)</f>
        <v>26979</v>
      </c>
      <c r="K40" s="152"/>
    </row>
    <row r="41" spans="1:12">
      <c r="A41" s="32"/>
      <c r="B41" s="33" t="s">
        <v>58</v>
      </c>
      <c r="C41" s="37" t="s">
        <v>64</v>
      </c>
      <c r="D41" s="38" t="s">
        <v>65</v>
      </c>
      <c r="E41" s="47">
        <f>Diárias!C14</f>
        <v>120</v>
      </c>
      <c r="F41" s="43">
        <f>'Planilha base'!H53</f>
        <v>224.82499999999999</v>
      </c>
      <c r="G41" s="284"/>
      <c r="H41" s="287"/>
      <c r="I41" s="168">
        <f>E41*F41</f>
        <v>26979</v>
      </c>
      <c r="K41" s="152"/>
    </row>
    <row r="42" spans="1:12">
      <c r="A42" s="32"/>
      <c r="B42" s="33"/>
      <c r="C42" s="37"/>
      <c r="D42" s="38"/>
      <c r="E42" s="47"/>
      <c r="F42" s="43"/>
      <c r="G42" s="284"/>
      <c r="H42" s="287"/>
      <c r="I42" s="170"/>
      <c r="L42" s="31"/>
    </row>
    <row r="43" spans="1:12">
      <c r="A43" s="23"/>
      <c r="B43" s="24">
        <v>7</v>
      </c>
      <c r="C43" s="35" t="s">
        <v>66</v>
      </c>
      <c r="D43" s="39"/>
      <c r="E43" s="39"/>
      <c r="F43" s="49"/>
      <c r="G43" s="286"/>
      <c r="H43" s="288">
        <f>SUM(H44:H45)</f>
        <v>0</v>
      </c>
      <c r="I43" s="170">
        <f>SUM(I44:I45)</f>
        <v>37743.650712249997</v>
      </c>
      <c r="L43" s="31"/>
    </row>
    <row r="44" spans="1:12">
      <c r="A44" s="32"/>
      <c r="B44" s="33" t="s">
        <v>60</v>
      </c>
      <c r="C44" s="37" t="s">
        <v>67</v>
      </c>
      <c r="D44" s="47" t="s">
        <v>52</v>
      </c>
      <c r="E44" s="29">
        <f>(I22+I19+I12+I9)+(H9+H12+H19+H22)+I29+I33+I36+I40</f>
        <v>115955.91616666666</v>
      </c>
      <c r="F44" s="115">
        <f>'Planilha base'!H40</f>
        <v>0.12</v>
      </c>
      <c r="G44" s="281"/>
      <c r="H44" s="287"/>
      <c r="I44" s="168">
        <f>E44*F44</f>
        <v>13914.709939999999</v>
      </c>
      <c r="L44" s="31"/>
    </row>
    <row r="45" spans="1:12">
      <c r="A45" s="32"/>
      <c r="B45" s="33" t="s">
        <v>62</v>
      </c>
      <c r="C45" s="37" t="s">
        <v>68</v>
      </c>
      <c r="D45" s="47" t="s">
        <v>52</v>
      </c>
      <c r="E45" s="29">
        <f>(I22+I19+I12+I9)+(H9+H12+H19+H22)+I29+I33+I36+I40</f>
        <v>115955.91616666666</v>
      </c>
      <c r="F45" s="115">
        <f>'Planilha base'!H41</f>
        <v>0.20550000000000002</v>
      </c>
      <c r="G45" s="281"/>
      <c r="H45" s="287"/>
      <c r="I45" s="168">
        <f>E45*F45</f>
        <v>23828.94077225</v>
      </c>
      <c r="L45" s="31"/>
    </row>
    <row r="46" spans="1:12">
      <c r="A46" s="32"/>
      <c r="B46" s="33"/>
      <c r="C46" s="46"/>
      <c r="D46" s="47"/>
      <c r="E46" s="47"/>
      <c r="F46" s="47"/>
      <c r="G46" s="255"/>
      <c r="H46" s="289"/>
      <c r="I46" s="34"/>
      <c r="L46" s="31"/>
    </row>
    <row r="47" spans="1:12" ht="15" thickBot="1">
      <c r="A47" s="50"/>
      <c r="B47" s="51"/>
      <c r="C47" s="524" t="s">
        <v>69</v>
      </c>
      <c r="D47" s="524"/>
      <c r="E47" s="524"/>
      <c r="F47" s="524"/>
      <c r="G47" s="256"/>
      <c r="H47" s="256"/>
      <c r="I47" s="52">
        <f>I7+H7</f>
        <v>166941.73250515002</v>
      </c>
      <c r="J47" s="53"/>
      <c r="K47" s="155"/>
      <c r="L47" s="31"/>
    </row>
    <row r="48" spans="1:12" ht="15" thickBot="1">
      <c r="A48" s="50"/>
      <c r="B48" s="51"/>
      <c r="C48" s="524" t="s">
        <v>70</v>
      </c>
      <c r="D48" s="524"/>
      <c r="E48" s="524"/>
      <c r="F48" s="524"/>
      <c r="G48" s="256"/>
      <c r="H48" s="256"/>
      <c r="I48" s="52">
        <f>I47*12</f>
        <v>2003300.7900618003</v>
      </c>
      <c r="J48" s="54"/>
      <c r="K48" s="156"/>
      <c r="L48" s="31"/>
    </row>
    <row r="49" spans="1:12">
      <c r="A49" s="55"/>
      <c r="B49" s="55"/>
      <c r="C49" s="55"/>
      <c r="D49" s="56"/>
      <c r="E49" s="55"/>
      <c r="F49" s="55"/>
      <c r="G49" s="55"/>
      <c r="H49" s="55"/>
      <c r="I49" s="55"/>
    </row>
    <row r="50" spans="1:12" ht="15" thickBot="1"/>
    <row r="51" spans="1:12" ht="15.6">
      <c r="A51" s="525" t="s">
        <v>71</v>
      </c>
      <c r="B51" s="525"/>
      <c r="C51" s="525"/>
      <c r="D51" s="525"/>
      <c r="E51" s="525"/>
      <c r="F51" s="525"/>
      <c r="G51" s="526"/>
      <c r="H51" s="526"/>
      <c r="I51" s="525"/>
    </row>
    <row r="52" spans="1:12" ht="15" thickBot="1">
      <c r="A52" s="58"/>
      <c r="B52" s="58"/>
      <c r="C52" s="59"/>
      <c r="D52" s="59"/>
      <c r="E52" s="59"/>
      <c r="F52" s="60"/>
      <c r="G52" s="60"/>
      <c r="H52" s="60"/>
    </row>
    <row r="53" spans="1:12">
      <c r="A53" s="527" t="s">
        <v>12</v>
      </c>
      <c r="B53" s="528"/>
      <c r="C53" s="139" t="s">
        <v>14</v>
      </c>
      <c r="D53" s="140"/>
      <c r="E53" s="141" t="s">
        <v>72</v>
      </c>
      <c r="F53" s="141" t="s">
        <v>73</v>
      </c>
      <c r="G53" s="263"/>
      <c r="H53" s="263"/>
      <c r="I53" s="142" t="s">
        <v>74</v>
      </c>
    </row>
    <row r="54" spans="1:12">
      <c r="A54" s="503" t="s">
        <v>75</v>
      </c>
      <c r="B54" s="504"/>
      <c r="C54" s="177" t="s">
        <v>76</v>
      </c>
      <c r="D54" s="178"/>
      <c r="E54" s="84">
        <f>'Relatorios LOTE 02'!D131</f>
        <v>1</v>
      </c>
      <c r="F54" s="86">
        <f>'Relatorios LOTE 02'!D19</f>
        <v>3091.0865333333331</v>
      </c>
      <c r="G54" s="257"/>
      <c r="H54" s="257"/>
      <c r="I54" s="85">
        <f t="shared" ref="I54:I59" si="4">F54*E54</f>
        <v>3091.0865333333331</v>
      </c>
    </row>
    <row r="55" spans="1:12">
      <c r="A55" s="503" t="s">
        <v>77</v>
      </c>
      <c r="B55" s="504"/>
      <c r="C55" s="177" t="s">
        <v>78</v>
      </c>
      <c r="D55" s="178"/>
      <c r="E55" s="84">
        <f>'Relatorios LOTE 02'!D132</f>
        <v>1</v>
      </c>
      <c r="F55" s="86">
        <f>'Relatorios LOTE 02'!D39</f>
        <v>2059.380533333333</v>
      </c>
      <c r="G55" s="257"/>
      <c r="H55" s="257"/>
      <c r="I55" s="85">
        <f t="shared" si="4"/>
        <v>2059.380533333333</v>
      </c>
    </row>
    <row r="56" spans="1:12">
      <c r="A56" s="503" t="s">
        <v>79</v>
      </c>
      <c r="B56" s="504"/>
      <c r="C56" s="177" t="s">
        <v>80</v>
      </c>
      <c r="D56" s="178"/>
      <c r="E56" s="84">
        <f>'Relatorios LOTE 02'!D133</f>
        <v>1</v>
      </c>
      <c r="F56" s="86">
        <f>'Relatorios LOTE 02'!D59</f>
        <v>2679.9555831666667</v>
      </c>
      <c r="G56" s="257"/>
      <c r="H56" s="257"/>
      <c r="I56" s="85">
        <f t="shared" si="4"/>
        <v>2679.9555831666667</v>
      </c>
    </row>
    <row r="57" spans="1:12">
      <c r="A57" s="503" t="s">
        <v>81</v>
      </c>
      <c r="B57" s="504"/>
      <c r="C57" s="177" t="s">
        <v>82</v>
      </c>
      <c r="D57" s="178"/>
      <c r="E57" s="84">
        <f>'Relatorios LOTE 02'!D134</f>
        <v>1</v>
      </c>
      <c r="F57" s="86">
        <f>'Relatorios LOTE 02'!D79</f>
        <v>2735.5607728333334</v>
      </c>
      <c r="G57" s="257"/>
      <c r="H57" s="257"/>
      <c r="I57" s="85">
        <f t="shared" si="4"/>
        <v>2735.5607728333334</v>
      </c>
    </row>
    <row r="58" spans="1:12">
      <c r="A58" s="503" t="s">
        <v>83</v>
      </c>
      <c r="B58" s="504"/>
      <c r="C58" s="177" t="s">
        <v>84</v>
      </c>
      <c r="D58" s="178"/>
      <c r="E58" s="84">
        <f>'Relatorios LOTE 02'!D135</f>
        <v>1</v>
      </c>
      <c r="F58" s="86">
        <f>'Relatorios LOTE 02'!D99</f>
        <v>2248.2115223333335</v>
      </c>
      <c r="G58" s="257"/>
      <c r="H58" s="257"/>
      <c r="I58" s="85">
        <f t="shared" si="4"/>
        <v>2248.2115223333335</v>
      </c>
    </row>
    <row r="59" spans="1:12">
      <c r="A59" s="503" t="s">
        <v>85</v>
      </c>
      <c r="B59" s="504"/>
      <c r="C59" s="177" t="s">
        <v>86</v>
      </c>
      <c r="D59" s="178"/>
      <c r="E59" s="84">
        <f>'Relatorios LOTE 02'!D136</f>
        <v>12</v>
      </c>
      <c r="F59" s="86">
        <f>'Relatorios LOTE 02'!D124</f>
        <v>2554.8599999999997</v>
      </c>
      <c r="G59" s="257"/>
      <c r="H59" s="257"/>
      <c r="I59" s="85">
        <f t="shared" si="4"/>
        <v>30658.319999999996</v>
      </c>
      <c r="L59" s="253"/>
    </row>
    <row r="60" spans="1:12">
      <c r="A60" s="503"/>
      <c r="B60" s="504"/>
      <c r="C60" s="177"/>
      <c r="D60" s="178"/>
      <c r="E60" s="84"/>
      <c r="F60" s="86"/>
      <c r="G60" s="257"/>
      <c r="H60" s="257"/>
      <c r="I60" s="85"/>
    </row>
    <row r="61" spans="1:12">
      <c r="A61" s="531"/>
      <c r="B61" s="532"/>
      <c r="C61" s="87"/>
      <c r="D61" s="83"/>
      <c r="E61" s="88"/>
      <c r="F61" s="89" t="s">
        <v>87</v>
      </c>
      <c r="G61" s="258"/>
      <c r="H61" s="258"/>
      <c r="I61" s="90">
        <f>SUM(I54:I59)</f>
        <v>43472.514944999995</v>
      </c>
    </row>
    <row r="62" spans="1:12">
      <c r="A62" s="531"/>
      <c r="B62" s="532"/>
      <c r="C62" s="87"/>
      <c r="D62" s="83"/>
      <c r="E62" s="88"/>
      <c r="F62" s="88"/>
      <c r="G62" s="259"/>
      <c r="H62" s="259"/>
      <c r="I62" s="91" t="s">
        <v>73</v>
      </c>
    </row>
    <row r="63" spans="1:12">
      <c r="A63" s="531"/>
      <c r="B63" s="532"/>
      <c r="C63" s="92" t="s">
        <v>88</v>
      </c>
      <c r="D63" s="83"/>
      <c r="E63" s="88"/>
      <c r="F63" s="88"/>
      <c r="G63" s="259"/>
      <c r="H63" s="259"/>
      <c r="I63" s="85"/>
    </row>
    <row r="64" spans="1:12">
      <c r="A64" s="531"/>
      <c r="B64" s="532"/>
      <c r="C64" s="92" t="s">
        <v>89</v>
      </c>
      <c r="D64" s="83"/>
      <c r="E64" s="88"/>
      <c r="F64" s="88" t="s">
        <v>90</v>
      </c>
      <c r="G64" s="259"/>
      <c r="H64" s="259"/>
      <c r="I64" s="85">
        <f>I48</f>
        <v>2003300.7900618003</v>
      </c>
    </row>
    <row r="65" spans="1:9">
      <c r="A65" s="531"/>
      <c r="B65" s="532"/>
      <c r="C65" s="92" t="s">
        <v>91</v>
      </c>
      <c r="D65" s="83"/>
      <c r="E65" s="88"/>
      <c r="F65" s="88" t="s">
        <v>73</v>
      </c>
      <c r="G65" s="259"/>
      <c r="H65" s="259"/>
      <c r="I65" s="85">
        <f>I61</f>
        <v>43472.514944999995</v>
      </c>
    </row>
    <row r="66" spans="1:9">
      <c r="A66" s="533"/>
      <c r="B66" s="534"/>
      <c r="C66" s="93" t="s">
        <v>92</v>
      </c>
      <c r="D66" s="94"/>
      <c r="E66" s="95"/>
      <c r="F66" s="95" t="s">
        <v>93</v>
      </c>
      <c r="G66" s="260"/>
      <c r="H66" s="260"/>
      <c r="I66" s="96">
        <f>ROUND(I64/I65,2)</f>
        <v>46.08</v>
      </c>
    </row>
    <row r="67" spans="1:9" ht="15" thickBot="1">
      <c r="A67" s="529"/>
      <c r="B67" s="530"/>
      <c r="C67" s="61"/>
      <c r="D67" s="62"/>
      <c r="E67" s="63"/>
      <c r="F67" s="63"/>
      <c r="G67" s="261"/>
      <c r="H67" s="261"/>
      <c r="I67" s="64"/>
    </row>
  </sheetData>
  <mergeCells count="24">
    <mergeCell ref="A67:B67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55:B55"/>
    <mergeCell ref="A1:I1"/>
    <mergeCell ref="A2:B2"/>
    <mergeCell ref="C2:E2"/>
    <mergeCell ref="F2:I3"/>
    <mergeCell ref="A3:B3"/>
    <mergeCell ref="C3:E3"/>
    <mergeCell ref="C47:F47"/>
    <mergeCell ref="C48:F48"/>
    <mergeCell ref="A51:I51"/>
    <mergeCell ref="A53:B53"/>
    <mergeCell ref="A54:B54"/>
  </mergeCells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4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CB89E-E8FB-4877-83C1-55AB690F4F9B}">
  <sheetPr>
    <tabColor theme="9" tint="0.39997558519241921"/>
  </sheetPr>
  <dimension ref="A1:R139"/>
  <sheetViews>
    <sheetView showGridLines="0" zoomScale="85" zoomScaleNormal="85" zoomScaleSheetLayoutView="85" zoomScalePageLayoutView="85" workbookViewId="0">
      <pane ySplit="1" topLeftCell="A110" activePane="bottomLeft" state="frozen"/>
      <selection activeCell="B17" sqref="B17"/>
      <selection pane="bottomLeft" activeCell="B114" sqref="B114"/>
    </sheetView>
  </sheetViews>
  <sheetFormatPr defaultColWidth="8.6640625" defaultRowHeight="13.2"/>
  <cols>
    <col min="1" max="1" width="9" style="67" bestFit="1" customWidth="1"/>
    <col min="2" max="2" width="61.6640625" style="67" customWidth="1"/>
    <col min="3" max="3" width="12.6640625" style="67" customWidth="1"/>
    <col min="4" max="4" width="13.5546875" style="97" customWidth="1"/>
    <col min="5" max="5" width="16.21875" style="97" bestFit="1" customWidth="1"/>
    <col min="6" max="6" width="11.6640625" style="97" bestFit="1" customWidth="1"/>
    <col min="7" max="7" width="15.6640625" style="97" bestFit="1" customWidth="1"/>
    <col min="8" max="8" width="16.21875" style="97" bestFit="1" customWidth="1"/>
    <col min="9" max="9" width="13.109375" style="97" bestFit="1" customWidth="1"/>
    <col min="10" max="10" width="13.109375" style="97" customWidth="1"/>
    <col min="11" max="11" width="19.44140625" style="97" customWidth="1"/>
    <col min="12" max="12" width="21.109375" style="97" customWidth="1"/>
    <col min="13" max="13" width="17" style="97" customWidth="1"/>
    <col min="14" max="14" width="6.5546875" style="97" customWidth="1"/>
    <col min="15" max="15" width="14.6640625" style="97" customWidth="1"/>
    <col min="16" max="16" width="13.33203125" style="97" customWidth="1"/>
    <col min="17" max="17" width="18.5546875" style="97" customWidth="1"/>
    <col min="18" max="19" width="8.6640625" style="97" customWidth="1"/>
    <col min="20" max="225" width="8.6640625" style="97"/>
    <col min="226" max="226" width="12.6640625" style="97" customWidth="1"/>
    <col min="227" max="227" width="60.33203125" style="97" customWidth="1"/>
    <col min="228" max="229" width="12.6640625" style="97" customWidth="1"/>
    <col min="230" max="230" width="12.33203125" style="97" bestFit="1" customWidth="1"/>
    <col min="231" max="231" width="15.6640625" style="97" customWidth="1"/>
    <col min="232" max="232" width="17.6640625" style="97" bestFit="1" customWidth="1"/>
    <col min="233" max="233" width="8.6640625" style="97"/>
    <col min="234" max="234" width="18" style="97" bestFit="1" customWidth="1"/>
    <col min="235" max="236" width="8.6640625" style="97"/>
    <col min="237" max="237" width="21.6640625" style="97" customWidth="1"/>
    <col min="238" max="238" width="9.44140625" style="97" bestFit="1" customWidth="1"/>
    <col min="239" max="481" width="8.6640625" style="97"/>
    <col min="482" max="482" width="12.6640625" style="97" customWidth="1"/>
    <col min="483" max="483" width="60.33203125" style="97" customWidth="1"/>
    <col min="484" max="485" width="12.6640625" style="97" customWidth="1"/>
    <col min="486" max="486" width="12.33203125" style="97" bestFit="1" customWidth="1"/>
    <col min="487" max="487" width="15.6640625" style="97" customWidth="1"/>
    <col min="488" max="488" width="17.6640625" style="97" bestFit="1" customWidth="1"/>
    <col min="489" max="489" width="8.6640625" style="97"/>
    <col min="490" max="490" width="18" style="97" bestFit="1" customWidth="1"/>
    <col min="491" max="492" width="8.6640625" style="97"/>
    <col min="493" max="493" width="21.6640625" style="97" customWidth="1"/>
    <col min="494" max="494" width="9.44140625" style="97" bestFit="1" customWidth="1"/>
    <col min="495" max="737" width="8.6640625" style="97"/>
    <col min="738" max="738" width="12.6640625" style="97" customWidth="1"/>
    <col min="739" max="739" width="60.33203125" style="97" customWidth="1"/>
    <col min="740" max="741" width="12.6640625" style="97" customWidth="1"/>
    <col min="742" max="742" width="12.33203125" style="97" bestFit="1" customWidth="1"/>
    <col min="743" max="743" width="15.6640625" style="97" customWidth="1"/>
    <col min="744" max="744" width="17.6640625" style="97" bestFit="1" customWidth="1"/>
    <col min="745" max="745" width="8.6640625" style="97"/>
    <col min="746" max="746" width="18" style="97" bestFit="1" customWidth="1"/>
    <col min="747" max="748" width="8.6640625" style="97"/>
    <col min="749" max="749" width="21.6640625" style="97" customWidth="1"/>
    <col min="750" max="750" width="9.44140625" style="97" bestFit="1" customWidth="1"/>
    <col min="751" max="993" width="8.6640625" style="97"/>
    <col min="994" max="994" width="12.6640625" style="97" customWidth="1"/>
    <col min="995" max="995" width="60.33203125" style="97" customWidth="1"/>
    <col min="996" max="997" width="12.6640625" style="97" customWidth="1"/>
    <col min="998" max="998" width="12.33203125" style="97" bestFit="1" customWidth="1"/>
    <col min="999" max="999" width="15.6640625" style="97" customWidth="1"/>
    <col min="1000" max="1000" width="17.6640625" style="97" bestFit="1" customWidth="1"/>
    <col min="1001" max="1001" width="8.6640625" style="97"/>
    <col min="1002" max="1002" width="18" style="97" bestFit="1" customWidth="1"/>
    <col min="1003" max="1004" width="8.6640625" style="97"/>
    <col min="1005" max="1005" width="21.6640625" style="97" customWidth="1"/>
    <col min="1006" max="1006" width="9.44140625" style="97" bestFit="1" customWidth="1"/>
    <col min="1007" max="1249" width="8.6640625" style="97"/>
    <col min="1250" max="1250" width="12.6640625" style="97" customWidth="1"/>
    <col min="1251" max="1251" width="60.33203125" style="97" customWidth="1"/>
    <col min="1252" max="1253" width="12.6640625" style="97" customWidth="1"/>
    <col min="1254" max="1254" width="12.33203125" style="97" bestFit="1" customWidth="1"/>
    <col min="1255" max="1255" width="15.6640625" style="97" customWidth="1"/>
    <col min="1256" max="1256" width="17.6640625" style="97" bestFit="1" customWidth="1"/>
    <col min="1257" max="1257" width="8.6640625" style="97"/>
    <col min="1258" max="1258" width="18" style="97" bestFit="1" customWidth="1"/>
    <col min="1259" max="1260" width="8.6640625" style="97"/>
    <col min="1261" max="1261" width="21.6640625" style="97" customWidth="1"/>
    <col min="1262" max="1262" width="9.44140625" style="97" bestFit="1" customWidth="1"/>
    <col min="1263" max="1505" width="8.6640625" style="97"/>
    <col min="1506" max="1506" width="12.6640625" style="97" customWidth="1"/>
    <col min="1507" max="1507" width="60.33203125" style="97" customWidth="1"/>
    <col min="1508" max="1509" width="12.6640625" style="97" customWidth="1"/>
    <col min="1510" max="1510" width="12.33203125" style="97" bestFit="1" customWidth="1"/>
    <col min="1511" max="1511" width="15.6640625" style="97" customWidth="1"/>
    <col min="1512" max="1512" width="17.6640625" style="97" bestFit="1" customWidth="1"/>
    <col min="1513" max="1513" width="8.6640625" style="97"/>
    <col min="1514" max="1514" width="18" style="97" bestFit="1" customWidth="1"/>
    <col min="1515" max="1516" width="8.6640625" style="97"/>
    <col min="1517" max="1517" width="21.6640625" style="97" customWidth="1"/>
    <col min="1518" max="1518" width="9.44140625" style="97" bestFit="1" customWidth="1"/>
    <col min="1519" max="1761" width="8.6640625" style="97"/>
    <col min="1762" max="1762" width="12.6640625" style="97" customWidth="1"/>
    <col min="1763" max="1763" width="60.33203125" style="97" customWidth="1"/>
    <col min="1764" max="1765" width="12.6640625" style="97" customWidth="1"/>
    <col min="1766" max="1766" width="12.33203125" style="97" bestFit="1" customWidth="1"/>
    <col min="1767" max="1767" width="15.6640625" style="97" customWidth="1"/>
    <col min="1768" max="1768" width="17.6640625" style="97" bestFit="1" customWidth="1"/>
    <col min="1769" max="1769" width="8.6640625" style="97"/>
    <col min="1770" max="1770" width="18" style="97" bestFit="1" customWidth="1"/>
    <col min="1771" max="1772" width="8.6640625" style="97"/>
    <col min="1773" max="1773" width="21.6640625" style="97" customWidth="1"/>
    <col min="1774" max="1774" width="9.44140625" style="97" bestFit="1" customWidth="1"/>
    <col min="1775" max="2017" width="8.6640625" style="97"/>
    <col min="2018" max="2018" width="12.6640625" style="97" customWidth="1"/>
    <col min="2019" max="2019" width="60.33203125" style="97" customWidth="1"/>
    <col min="2020" max="2021" width="12.6640625" style="97" customWidth="1"/>
    <col min="2022" max="2022" width="12.33203125" style="97" bestFit="1" customWidth="1"/>
    <col min="2023" max="2023" width="15.6640625" style="97" customWidth="1"/>
    <col min="2024" max="2024" width="17.6640625" style="97" bestFit="1" customWidth="1"/>
    <col min="2025" max="2025" width="8.6640625" style="97"/>
    <col min="2026" max="2026" width="18" style="97" bestFit="1" customWidth="1"/>
    <col min="2027" max="2028" width="8.6640625" style="97"/>
    <col min="2029" max="2029" width="21.6640625" style="97" customWidth="1"/>
    <col min="2030" max="2030" width="9.44140625" style="97" bestFit="1" customWidth="1"/>
    <col min="2031" max="2273" width="8.6640625" style="97"/>
    <col min="2274" max="2274" width="12.6640625" style="97" customWidth="1"/>
    <col min="2275" max="2275" width="60.33203125" style="97" customWidth="1"/>
    <col min="2276" max="2277" width="12.6640625" style="97" customWidth="1"/>
    <col min="2278" max="2278" width="12.33203125" style="97" bestFit="1" customWidth="1"/>
    <col min="2279" max="2279" width="15.6640625" style="97" customWidth="1"/>
    <col min="2280" max="2280" width="17.6640625" style="97" bestFit="1" customWidth="1"/>
    <col min="2281" max="2281" width="8.6640625" style="97"/>
    <col min="2282" max="2282" width="18" style="97" bestFit="1" customWidth="1"/>
    <col min="2283" max="2284" width="8.6640625" style="97"/>
    <col min="2285" max="2285" width="21.6640625" style="97" customWidth="1"/>
    <col min="2286" max="2286" width="9.44140625" style="97" bestFit="1" customWidth="1"/>
    <col min="2287" max="2529" width="8.6640625" style="97"/>
    <col min="2530" max="2530" width="12.6640625" style="97" customWidth="1"/>
    <col min="2531" max="2531" width="60.33203125" style="97" customWidth="1"/>
    <col min="2532" max="2533" width="12.6640625" style="97" customWidth="1"/>
    <col min="2534" max="2534" width="12.33203125" style="97" bestFit="1" customWidth="1"/>
    <col min="2535" max="2535" width="15.6640625" style="97" customWidth="1"/>
    <col min="2536" max="2536" width="17.6640625" style="97" bestFit="1" customWidth="1"/>
    <col min="2537" max="2537" width="8.6640625" style="97"/>
    <col min="2538" max="2538" width="18" style="97" bestFit="1" customWidth="1"/>
    <col min="2539" max="2540" width="8.6640625" style="97"/>
    <col min="2541" max="2541" width="21.6640625" style="97" customWidth="1"/>
    <col min="2542" max="2542" width="9.44140625" style="97" bestFit="1" customWidth="1"/>
    <col min="2543" max="2785" width="8.6640625" style="97"/>
    <col min="2786" max="2786" width="12.6640625" style="97" customWidth="1"/>
    <col min="2787" max="2787" width="60.33203125" style="97" customWidth="1"/>
    <col min="2788" max="2789" width="12.6640625" style="97" customWidth="1"/>
    <col min="2790" max="2790" width="12.33203125" style="97" bestFit="1" customWidth="1"/>
    <col min="2791" max="2791" width="15.6640625" style="97" customWidth="1"/>
    <col min="2792" max="2792" width="17.6640625" style="97" bestFit="1" customWidth="1"/>
    <col min="2793" max="2793" width="8.6640625" style="97"/>
    <col min="2794" max="2794" width="18" style="97" bestFit="1" customWidth="1"/>
    <col min="2795" max="2796" width="8.6640625" style="97"/>
    <col min="2797" max="2797" width="21.6640625" style="97" customWidth="1"/>
    <col min="2798" max="2798" width="9.44140625" style="97" bestFit="1" customWidth="1"/>
    <col min="2799" max="3041" width="8.6640625" style="97"/>
    <col min="3042" max="3042" width="12.6640625" style="97" customWidth="1"/>
    <col min="3043" max="3043" width="60.33203125" style="97" customWidth="1"/>
    <col min="3044" max="3045" width="12.6640625" style="97" customWidth="1"/>
    <col min="3046" max="3046" width="12.33203125" style="97" bestFit="1" customWidth="1"/>
    <col min="3047" max="3047" width="15.6640625" style="97" customWidth="1"/>
    <col min="3048" max="3048" width="17.6640625" style="97" bestFit="1" customWidth="1"/>
    <col min="3049" max="3049" width="8.6640625" style="97"/>
    <col min="3050" max="3050" width="18" style="97" bestFit="1" customWidth="1"/>
    <col min="3051" max="3052" width="8.6640625" style="97"/>
    <col min="3053" max="3053" width="21.6640625" style="97" customWidth="1"/>
    <col min="3054" max="3054" width="9.44140625" style="97" bestFit="1" customWidth="1"/>
    <col min="3055" max="3297" width="8.6640625" style="97"/>
    <col min="3298" max="3298" width="12.6640625" style="97" customWidth="1"/>
    <col min="3299" max="3299" width="60.33203125" style="97" customWidth="1"/>
    <col min="3300" max="3301" width="12.6640625" style="97" customWidth="1"/>
    <col min="3302" max="3302" width="12.33203125" style="97" bestFit="1" customWidth="1"/>
    <col min="3303" max="3303" width="15.6640625" style="97" customWidth="1"/>
    <col min="3304" max="3304" width="17.6640625" style="97" bestFit="1" customWidth="1"/>
    <col min="3305" max="3305" width="8.6640625" style="97"/>
    <col min="3306" max="3306" width="18" style="97" bestFit="1" customWidth="1"/>
    <col min="3307" max="3308" width="8.6640625" style="97"/>
    <col min="3309" max="3309" width="21.6640625" style="97" customWidth="1"/>
    <col min="3310" max="3310" width="9.44140625" style="97" bestFit="1" customWidth="1"/>
    <col min="3311" max="3553" width="8.6640625" style="97"/>
    <col min="3554" max="3554" width="12.6640625" style="97" customWidth="1"/>
    <col min="3555" max="3555" width="60.33203125" style="97" customWidth="1"/>
    <col min="3556" max="3557" width="12.6640625" style="97" customWidth="1"/>
    <col min="3558" max="3558" width="12.33203125" style="97" bestFit="1" customWidth="1"/>
    <col min="3559" max="3559" width="15.6640625" style="97" customWidth="1"/>
    <col min="3560" max="3560" width="17.6640625" style="97" bestFit="1" customWidth="1"/>
    <col min="3561" max="3561" width="8.6640625" style="97"/>
    <col min="3562" max="3562" width="18" style="97" bestFit="1" customWidth="1"/>
    <col min="3563" max="3564" width="8.6640625" style="97"/>
    <col min="3565" max="3565" width="21.6640625" style="97" customWidth="1"/>
    <col min="3566" max="3566" width="9.44140625" style="97" bestFit="1" customWidth="1"/>
    <col min="3567" max="3809" width="8.6640625" style="97"/>
    <col min="3810" max="3810" width="12.6640625" style="97" customWidth="1"/>
    <col min="3811" max="3811" width="60.33203125" style="97" customWidth="1"/>
    <col min="3812" max="3813" width="12.6640625" style="97" customWidth="1"/>
    <col min="3814" max="3814" width="12.33203125" style="97" bestFit="1" customWidth="1"/>
    <col min="3815" max="3815" width="15.6640625" style="97" customWidth="1"/>
    <col min="3816" max="3816" width="17.6640625" style="97" bestFit="1" customWidth="1"/>
    <col min="3817" max="3817" width="8.6640625" style="97"/>
    <col min="3818" max="3818" width="18" style="97" bestFit="1" customWidth="1"/>
    <col min="3819" max="3820" width="8.6640625" style="97"/>
    <col min="3821" max="3821" width="21.6640625" style="97" customWidth="1"/>
    <col min="3822" max="3822" width="9.44140625" style="97" bestFit="1" customWidth="1"/>
    <col min="3823" max="4065" width="8.6640625" style="97"/>
    <col min="4066" max="4066" width="12.6640625" style="97" customWidth="1"/>
    <col min="4067" max="4067" width="60.33203125" style="97" customWidth="1"/>
    <col min="4068" max="4069" width="12.6640625" style="97" customWidth="1"/>
    <col min="4070" max="4070" width="12.33203125" style="97" bestFit="1" customWidth="1"/>
    <col min="4071" max="4071" width="15.6640625" style="97" customWidth="1"/>
    <col min="4072" max="4072" width="17.6640625" style="97" bestFit="1" customWidth="1"/>
    <col min="4073" max="4073" width="8.6640625" style="97"/>
    <col min="4074" max="4074" width="18" style="97" bestFit="1" customWidth="1"/>
    <col min="4075" max="4076" width="8.6640625" style="97"/>
    <col min="4077" max="4077" width="21.6640625" style="97" customWidth="1"/>
    <col min="4078" max="4078" width="9.44140625" style="97" bestFit="1" customWidth="1"/>
    <col min="4079" max="4321" width="8.6640625" style="97"/>
    <col min="4322" max="4322" width="12.6640625" style="97" customWidth="1"/>
    <col min="4323" max="4323" width="60.33203125" style="97" customWidth="1"/>
    <col min="4324" max="4325" width="12.6640625" style="97" customWidth="1"/>
    <col min="4326" max="4326" width="12.33203125" style="97" bestFit="1" customWidth="1"/>
    <col min="4327" max="4327" width="15.6640625" style="97" customWidth="1"/>
    <col min="4328" max="4328" width="17.6640625" style="97" bestFit="1" customWidth="1"/>
    <col min="4329" max="4329" width="8.6640625" style="97"/>
    <col min="4330" max="4330" width="18" style="97" bestFit="1" customWidth="1"/>
    <col min="4331" max="4332" width="8.6640625" style="97"/>
    <col min="4333" max="4333" width="21.6640625" style="97" customWidth="1"/>
    <col min="4334" max="4334" width="9.44140625" style="97" bestFit="1" customWidth="1"/>
    <col min="4335" max="4577" width="8.6640625" style="97"/>
    <col min="4578" max="4578" width="12.6640625" style="97" customWidth="1"/>
    <col min="4579" max="4579" width="60.33203125" style="97" customWidth="1"/>
    <col min="4580" max="4581" width="12.6640625" style="97" customWidth="1"/>
    <col min="4582" max="4582" width="12.33203125" style="97" bestFit="1" customWidth="1"/>
    <col min="4583" max="4583" width="15.6640625" style="97" customWidth="1"/>
    <col min="4584" max="4584" width="17.6640625" style="97" bestFit="1" customWidth="1"/>
    <col min="4585" max="4585" width="8.6640625" style="97"/>
    <col min="4586" max="4586" width="18" style="97" bestFit="1" customWidth="1"/>
    <col min="4587" max="4588" width="8.6640625" style="97"/>
    <col min="4589" max="4589" width="21.6640625" style="97" customWidth="1"/>
    <col min="4590" max="4590" width="9.44140625" style="97" bestFit="1" customWidth="1"/>
    <col min="4591" max="4833" width="8.6640625" style="97"/>
    <col min="4834" max="4834" width="12.6640625" style="97" customWidth="1"/>
    <col min="4835" max="4835" width="60.33203125" style="97" customWidth="1"/>
    <col min="4836" max="4837" width="12.6640625" style="97" customWidth="1"/>
    <col min="4838" max="4838" width="12.33203125" style="97" bestFit="1" customWidth="1"/>
    <col min="4839" max="4839" width="15.6640625" style="97" customWidth="1"/>
    <col min="4840" max="4840" width="17.6640625" style="97" bestFit="1" customWidth="1"/>
    <col min="4841" max="4841" width="8.6640625" style="97"/>
    <col min="4842" max="4842" width="18" style="97" bestFit="1" customWidth="1"/>
    <col min="4843" max="4844" width="8.6640625" style="97"/>
    <col min="4845" max="4845" width="21.6640625" style="97" customWidth="1"/>
    <col min="4846" max="4846" width="9.44140625" style="97" bestFit="1" customWidth="1"/>
    <col min="4847" max="5089" width="8.6640625" style="97"/>
    <col min="5090" max="5090" width="12.6640625" style="97" customWidth="1"/>
    <col min="5091" max="5091" width="60.33203125" style="97" customWidth="1"/>
    <col min="5092" max="5093" width="12.6640625" style="97" customWidth="1"/>
    <col min="5094" max="5094" width="12.33203125" style="97" bestFit="1" customWidth="1"/>
    <col min="5095" max="5095" width="15.6640625" style="97" customWidth="1"/>
    <col min="5096" max="5096" width="17.6640625" style="97" bestFit="1" customWidth="1"/>
    <col min="5097" max="5097" width="8.6640625" style="97"/>
    <col min="5098" max="5098" width="18" style="97" bestFit="1" customWidth="1"/>
    <col min="5099" max="5100" width="8.6640625" style="97"/>
    <col min="5101" max="5101" width="21.6640625" style="97" customWidth="1"/>
    <col min="5102" max="5102" width="9.44140625" style="97" bestFit="1" customWidth="1"/>
    <col min="5103" max="5345" width="8.6640625" style="97"/>
    <col min="5346" max="5346" width="12.6640625" style="97" customWidth="1"/>
    <col min="5347" max="5347" width="60.33203125" style="97" customWidth="1"/>
    <col min="5348" max="5349" width="12.6640625" style="97" customWidth="1"/>
    <col min="5350" max="5350" width="12.33203125" style="97" bestFit="1" customWidth="1"/>
    <col min="5351" max="5351" width="15.6640625" style="97" customWidth="1"/>
    <col min="5352" max="5352" width="17.6640625" style="97" bestFit="1" customWidth="1"/>
    <col min="5353" max="5353" width="8.6640625" style="97"/>
    <col min="5354" max="5354" width="18" style="97" bestFit="1" customWidth="1"/>
    <col min="5355" max="5356" width="8.6640625" style="97"/>
    <col min="5357" max="5357" width="21.6640625" style="97" customWidth="1"/>
    <col min="5358" max="5358" width="9.44140625" style="97" bestFit="1" customWidth="1"/>
    <col min="5359" max="5601" width="8.6640625" style="97"/>
    <col min="5602" max="5602" width="12.6640625" style="97" customWidth="1"/>
    <col min="5603" max="5603" width="60.33203125" style="97" customWidth="1"/>
    <col min="5604" max="5605" width="12.6640625" style="97" customWidth="1"/>
    <col min="5606" max="5606" width="12.33203125" style="97" bestFit="1" customWidth="1"/>
    <col min="5607" max="5607" width="15.6640625" style="97" customWidth="1"/>
    <col min="5608" max="5608" width="17.6640625" style="97" bestFit="1" customWidth="1"/>
    <col min="5609" max="5609" width="8.6640625" style="97"/>
    <col min="5610" max="5610" width="18" style="97" bestFit="1" customWidth="1"/>
    <col min="5611" max="5612" width="8.6640625" style="97"/>
    <col min="5613" max="5613" width="21.6640625" style="97" customWidth="1"/>
    <col min="5614" max="5614" width="9.44140625" style="97" bestFit="1" customWidth="1"/>
    <col min="5615" max="5857" width="8.6640625" style="97"/>
    <col min="5858" max="5858" width="12.6640625" style="97" customWidth="1"/>
    <col min="5859" max="5859" width="60.33203125" style="97" customWidth="1"/>
    <col min="5860" max="5861" width="12.6640625" style="97" customWidth="1"/>
    <col min="5862" max="5862" width="12.33203125" style="97" bestFit="1" customWidth="1"/>
    <col min="5863" max="5863" width="15.6640625" style="97" customWidth="1"/>
    <col min="5864" max="5864" width="17.6640625" style="97" bestFit="1" customWidth="1"/>
    <col min="5865" max="5865" width="8.6640625" style="97"/>
    <col min="5866" max="5866" width="18" style="97" bestFit="1" customWidth="1"/>
    <col min="5867" max="5868" width="8.6640625" style="97"/>
    <col min="5869" max="5869" width="21.6640625" style="97" customWidth="1"/>
    <col min="5870" max="5870" width="9.44140625" style="97" bestFit="1" customWidth="1"/>
    <col min="5871" max="6113" width="8.6640625" style="97"/>
    <col min="6114" max="6114" width="12.6640625" style="97" customWidth="1"/>
    <col min="6115" max="6115" width="60.33203125" style="97" customWidth="1"/>
    <col min="6116" max="6117" width="12.6640625" style="97" customWidth="1"/>
    <col min="6118" max="6118" width="12.33203125" style="97" bestFit="1" customWidth="1"/>
    <col min="6119" max="6119" width="15.6640625" style="97" customWidth="1"/>
    <col min="6120" max="6120" width="17.6640625" style="97" bestFit="1" customWidth="1"/>
    <col min="6121" max="6121" width="8.6640625" style="97"/>
    <col min="6122" max="6122" width="18" style="97" bestFit="1" customWidth="1"/>
    <col min="6123" max="6124" width="8.6640625" style="97"/>
    <col min="6125" max="6125" width="21.6640625" style="97" customWidth="1"/>
    <col min="6126" max="6126" width="9.44140625" style="97" bestFit="1" customWidth="1"/>
    <col min="6127" max="6369" width="8.6640625" style="97"/>
    <col min="6370" max="6370" width="12.6640625" style="97" customWidth="1"/>
    <col min="6371" max="6371" width="60.33203125" style="97" customWidth="1"/>
    <col min="6372" max="6373" width="12.6640625" style="97" customWidth="1"/>
    <col min="6374" max="6374" width="12.33203125" style="97" bestFit="1" customWidth="1"/>
    <col min="6375" max="6375" width="15.6640625" style="97" customWidth="1"/>
    <col min="6376" max="6376" width="17.6640625" style="97" bestFit="1" customWidth="1"/>
    <col min="6377" max="6377" width="8.6640625" style="97"/>
    <col min="6378" max="6378" width="18" style="97" bestFit="1" customWidth="1"/>
    <col min="6379" max="6380" width="8.6640625" style="97"/>
    <col min="6381" max="6381" width="21.6640625" style="97" customWidth="1"/>
    <col min="6382" max="6382" width="9.44140625" style="97" bestFit="1" customWidth="1"/>
    <col min="6383" max="6625" width="8.6640625" style="97"/>
    <col min="6626" max="6626" width="12.6640625" style="97" customWidth="1"/>
    <col min="6627" max="6627" width="60.33203125" style="97" customWidth="1"/>
    <col min="6628" max="6629" width="12.6640625" style="97" customWidth="1"/>
    <col min="6630" max="6630" width="12.33203125" style="97" bestFit="1" customWidth="1"/>
    <col min="6631" max="6631" width="15.6640625" style="97" customWidth="1"/>
    <col min="6632" max="6632" width="17.6640625" style="97" bestFit="1" customWidth="1"/>
    <col min="6633" max="6633" width="8.6640625" style="97"/>
    <col min="6634" max="6634" width="18" style="97" bestFit="1" customWidth="1"/>
    <col min="6635" max="6636" width="8.6640625" style="97"/>
    <col min="6637" max="6637" width="21.6640625" style="97" customWidth="1"/>
    <col min="6638" max="6638" width="9.44140625" style="97" bestFit="1" customWidth="1"/>
    <col min="6639" max="6881" width="8.6640625" style="97"/>
    <col min="6882" max="6882" width="12.6640625" style="97" customWidth="1"/>
    <col min="6883" max="6883" width="60.33203125" style="97" customWidth="1"/>
    <col min="6884" max="6885" width="12.6640625" style="97" customWidth="1"/>
    <col min="6886" max="6886" width="12.33203125" style="97" bestFit="1" customWidth="1"/>
    <col min="6887" max="6887" width="15.6640625" style="97" customWidth="1"/>
    <col min="6888" max="6888" width="17.6640625" style="97" bestFit="1" customWidth="1"/>
    <col min="6889" max="6889" width="8.6640625" style="97"/>
    <col min="6890" max="6890" width="18" style="97" bestFit="1" customWidth="1"/>
    <col min="6891" max="6892" width="8.6640625" style="97"/>
    <col min="6893" max="6893" width="21.6640625" style="97" customWidth="1"/>
    <col min="6894" max="6894" width="9.44140625" style="97" bestFit="1" customWidth="1"/>
    <col min="6895" max="7137" width="8.6640625" style="97"/>
    <col min="7138" max="7138" width="12.6640625" style="97" customWidth="1"/>
    <col min="7139" max="7139" width="60.33203125" style="97" customWidth="1"/>
    <col min="7140" max="7141" width="12.6640625" style="97" customWidth="1"/>
    <col min="7142" max="7142" width="12.33203125" style="97" bestFit="1" customWidth="1"/>
    <col min="7143" max="7143" width="15.6640625" style="97" customWidth="1"/>
    <col min="7144" max="7144" width="17.6640625" style="97" bestFit="1" customWidth="1"/>
    <col min="7145" max="7145" width="8.6640625" style="97"/>
    <col min="7146" max="7146" width="18" style="97" bestFit="1" customWidth="1"/>
    <col min="7147" max="7148" width="8.6640625" style="97"/>
    <col min="7149" max="7149" width="21.6640625" style="97" customWidth="1"/>
    <col min="7150" max="7150" width="9.44140625" style="97" bestFit="1" customWidth="1"/>
    <col min="7151" max="7393" width="8.6640625" style="97"/>
    <col min="7394" max="7394" width="12.6640625" style="97" customWidth="1"/>
    <col min="7395" max="7395" width="60.33203125" style="97" customWidth="1"/>
    <col min="7396" max="7397" width="12.6640625" style="97" customWidth="1"/>
    <col min="7398" max="7398" width="12.33203125" style="97" bestFit="1" customWidth="1"/>
    <col min="7399" max="7399" width="15.6640625" style="97" customWidth="1"/>
    <col min="7400" max="7400" width="17.6640625" style="97" bestFit="1" customWidth="1"/>
    <col min="7401" max="7401" width="8.6640625" style="97"/>
    <col min="7402" max="7402" width="18" style="97" bestFit="1" customWidth="1"/>
    <col min="7403" max="7404" width="8.6640625" style="97"/>
    <col min="7405" max="7405" width="21.6640625" style="97" customWidth="1"/>
    <col min="7406" max="7406" width="9.44140625" style="97" bestFit="1" customWidth="1"/>
    <col min="7407" max="7649" width="8.6640625" style="97"/>
    <col min="7650" max="7650" width="12.6640625" style="97" customWidth="1"/>
    <col min="7651" max="7651" width="60.33203125" style="97" customWidth="1"/>
    <col min="7652" max="7653" width="12.6640625" style="97" customWidth="1"/>
    <col min="7654" max="7654" width="12.33203125" style="97" bestFit="1" customWidth="1"/>
    <col min="7655" max="7655" width="15.6640625" style="97" customWidth="1"/>
    <col min="7656" max="7656" width="17.6640625" style="97" bestFit="1" customWidth="1"/>
    <col min="7657" max="7657" width="8.6640625" style="97"/>
    <col min="7658" max="7658" width="18" style="97" bestFit="1" customWidth="1"/>
    <col min="7659" max="7660" width="8.6640625" style="97"/>
    <col min="7661" max="7661" width="21.6640625" style="97" customWidth="1"/>
    <col min="7662" max="7662" width="9.44140625" style="97" bestFit="1" customWidth="1"/>
    <col min="7663" max="7905" width="8.6640625" style="97"/>
    <col min="7906" max="7906" width="12.6640625" style="97" customWidth="1"/>
    <col min="7907" max="7907" width="60.33203125" style="97" customWidth="1"/>
    <col min="7908" max="7909" width="12.6640625" style="97" customWidth="1"/>
    <col min="7910" max="7910" width="12.33203125" style="97" bestFit="1" customWidth="1"/>
    <col min="7911" max="7911" width="15.6640625" style="97" customWidth="1"/>
    <col min="7912" max="7912" width="17.6640625" style="97" bestFit="1" customWidth="1"/>
    <col min="7913" max="7913" width="8.6640625" style="97"/>
    <col min="7914" max="7914" width="18" style="97" bestFit="1" customWidth="1"/>
    <col min="7915" max="7916" width="8.6640625" style="97"/>
    <col min="7917" max="7917" width="21.6640625" style="97" customWidth="1"/>
    <col min="7918" max="7918" width="9.44140625" style="97" bestFit="1" customWidth="1"/>
    <col min="7919" max="8161" width="8.6640625" style="97"/>
    <col min="8162" max="8162" width="12.6640625" style="97" customWidth="1"/>
    <col min="8163" max="8163" width="60.33203125" style="97" customWidth="1"/>
    <col min="8164" max="8165" width="12.6640625" style="97" customWidth="1"/>
    <col min="8166" max="8166" width="12.33203125" style="97" bestFit="1" customWidth="1"/>
    <col min="8167" max="8167" width="15.6640625" style="97" customWidth="1"/>
    <col min="8168" max="8168" width="17.6640625" style="97" bestFit="1" customWidth="1"/>
    <col min="8169" max="8169" width="8.6640625" style="97"/>
    <col min="8170" max="8170" width="18" style="97" bestFit="1" customWidth="1"/>
    <col min="8171" max="8172" width="8.6640625" style="97"/>
    <col min="8173" max="8173" width="21.6640625" style="97" customWidth="1"/>
    <col min="8174" max="8174" width="9.44140625" style="97" bestFit="1" customWidth="1"/>
    <col min="8175" max="8417" width="8.6640625" style="97"/>
    <col min="8418" max="8418" width="12.6640625" style="97" customWidth="1"/>
    <col min="8419" max="8419" width="60.33203125" style="97" customWidth="1"/>
    <col min="8420" max="8421" width="12.6640625" style="97" customWidth="1"/>
    <col min="8422" max="8422" width="12.33203125" style="97" bestFit="1" customWidth="1"/>
    <col min="8423" max="8423" width="15.6640625" style="97" customWidth="1"/>
    <col min="8424" max="8424" width="17.6640625" style="97" bestFit="1" customWidth="1"/>
    <col min="8425" max="8425" width="8.6640625" style="97"/>
    <col min="8426" max="8426" width="18" style="97" bestFit="1" customWidth="1"/>
    <col min="8427" max="8428" width="8.6640625" style="97"/>
    <col min="8429" max="8429" width="21.6640625" style="97" customWidth="1"/>
    <col min="8430" max="8430" width="9.44140625" style="97" bestFit="1" customWidth="1"/>
    <col min="8431" max="8673" width="8.6640625" style="97"/>
    <col min="8674" max="8674" width="12.6640625" style="97" customWidth="1"/>
    <col min="8675" max="8675" width="60.33203125" style="97" customWidth="1"/>
    <col min="8676" max="8677" width="12.6640625" style="97" customWidth="1"/>
    <col min="8678" max="8678" width="12.33203125" style="97" bestFit="1" customWidth="1"/>
    <col min="8679" max="8679" width="15.6640625" style="97" customWidth="1"/>
    <col min="8680" max="8680" width="17.6640625" style="97" bestFit="1" customWidth="1"/>
    <col min="8681" max="8681" width="8.6640625" style="97"/>
    <col min="8682" max="8682" width="18" style="97" bestFit="1" customWidth="1"/>
    <col min="8683" max="8684" width="8.6640625" style="97"/>
    <col min="8685" max="8685" width="21.6640625" style="97" customWidth="1"/>
    <col min="8686" max="8686" width="9.44140625" style="97" bestFit="1" customWidth="1"/>
    <col min="8687" max="8929" width="8.6640625" style="97"/>
    <col min="8930" max="8930" width="12.6640625" style="97" customWidth="1"/>
    <col min="8931" max="8931" width="60.33203125" style="97" customWidth="1"/>
    <col min="8932" max="8933" width="12.6640625" style="97" customWidth="1"/>
    <col min="8934" max="8934" width="12.33203125" style="97" bestFit="1" customWidth="1"/>
    <col min="8935" max="8935" width="15.6640625" style="97" customWidth="1"/>
    <col min="8936" max="8936" width="17.6640625" style="97" bestFit="1" customWidth="1"/>
    <col min="8937" max="8937" width="8.6640625" style="97"/>
    <col min="8938" max="8938" width="18" style="97" bestFit="1" customWidth="1"/>
    <col min="8939" max="8940" width="8.6640625" style="97"/>
    <col min="8941" max="8941" width="21.6640625" style="97" customWidth="1"/>
    <col min="8942" max="8942" width="9.44140625" style="97" bestFit="1" customWidth="1"/>
    <col min="8943" max="9185" width="8.6640625" style="97"/>
    <col min="9186" max="9186" width="12.6640625" style="97" customWidth="1"/>
    <col min="9187" max="9187" width="60.33203125" style="97" customWidth="1"/>
    <col min="9188" max="9189" width="12.6640625" style="97" customWidth="1"/>
    <col min="9190" max="9190" width="12.33203125" style="97" bestFit="1" customWidth="1"/>
    <col min="9191" max="9191" width="15.6640625" style="97" customWidth="1"/>
    <col min="9192" max="9192" width="17.6640625" style="97" bestFit="1" customWidth="1"/>
    <col min="9193" max="9193" width="8.6640625" style="97"/>
    <col min="9194" max="9194" width="18" style="97" bestFit="1" customWidth="1"/>
    <col min="9195" max="9196" width="8.6640625" style="97"/>
    <col min="9197" max="9197" width="21.6640625" style="97" customWidth="1"/>
    <col min="9198" max="9198" width="9.44140625" style="97" bestFit="1" customWidth="1"/>
    <col min="9199" max="9441" width="8.6640625" style="97"/>
    <col min="9442" max="9442" width="12.6640625" style="97" customWidth="1"/>
    <col min="9443" max="9443" width="60.33203125" style="97" customWidth="1"/>
    <col min="9444" max="9445" width="12.6640625" style="97" customWidth="1"/>
    <col min="9446" max="9446" width="12.33203125" style="97" bestFit="1" customWidth="1"/>
    <col min="9447" max="9447" width="15.6640625" style="97" customWidth="1"/>
    <col min="9448" max="9448" width="17.6640625" style="97" bestFit="1" customWidth="1"/>
    <col min="9449" max="9449" width="8.6640625" style="97"/>
    <col min="9450" max="9450" width="18" style="97" bestFit="1" customWidth="1"/>
    <col min="9451" max="9452" width="8.6640625" style="97"/>
    <col min="9453" max="9453" width="21.6640625" style="97" customWidth="1"/>
    <col min="9454" max="9454" width="9.44140625" style="97" bestFit="1" customWidth="1"/>
    <col min="9455" max="9697" width="8.6640625" style="97"/>
    <col min="9698" max="9698" width="12.6640625" style="97" customWidth="1"/>
    <col min="9699" max="9699" width="60.33203125" style="97" customWidth="1"/>
    <col min="9700" max="9701" width="12.6640625" style="97" customWidth="1"/>
    <col min="9702" max="9702" width="12.33203125" style="97" bestFit="1" customWidth="1"/>
    <col min="9703" max="9703" width="15.6640625" style="97" customWidth="1"/>
    <col min="9704" max="9704" width="17.6640625" style="97" bestFit="1" customWidth="1"/>
    <col min="9705" max="9705" width="8.6640625" style="97"/>
    <col min="9706" max="9706" width="18" style="97" bestFit="1" customWidth="1"/>
    <col min="9707" max="9708" width="8.6640625" style="97"/>
    <col min="9709" max="9709" width="21.6640625" style="97" customWidth="1"/>
    <col min="9710" max="9710" width="9.44140625" style="97" bestFit="1" customWidth="1"/>
    <col min="9711" max="9953" width="8.6640625" style="97"/>
    <col min="9954" max="9954" width="12.6640625" style="97" customWidth="1"/>
    <col min="9955" max="9955" width="60.33203125" style="97" customWidth="1"/>
    <col min="9956" max="9957" width="12.6640625" style="97" customWidth="1"/>
    <col min="9958" max="9958" width="12.33203125" style="97" bestFit="1" customWidth="1"/>
    <col min="9959" max="9959" width="15.6640625" style="97" customWidth="1"/>
    <col min="9960" max="9960" width="17.6640625" style="97" bestFit="1" customWidth="1"/>
    <col min="9961" max="9961" width="8.6640625" style="97"/>
    <col min="9962" max="9962" width="18" style="97" bestFit="1" customWidth="1"/>
    <col min="9963" max="9964" width="8.6640625" style="97"/>
    <col min="9965" max="9965" width="21.6640625" style="97" customWidth="1"/>
    <col min="9966" max="9966" width="9.44140625" style="97" bestFit="1" customWidth="1"/>
    <col min="9967" max="10209" width="8.6640625" style="97"/>
    <col min="10210" max="10210" width="12.6640625" style="97" customWidth="1"/>
    <col min="10211" max="10211" width="60.33203125" style="97" customWidth="1"/>
    <col min="10212" max="10213" width="12.6640625" style="97" customWidth="1"/>
    <col min="10214" max="10214" width="12.33203125" style="97" bestFit="1" customWidth="1"/>
    <col min="10215" max="10215" width="15.6640625" style="97" customWidth="1"/>
    <col min="10216" max="10216" width="17.6640625" style="97" bestFit="1" customWidth="1"/>
    <col min="10217" max="10217" width="8.6640625" style="97"/>
    <col min="10218" max="10218" width="18" style="97" bestFit="1" customWidth="1"/>
    <col min="10219" max="10220" width="8.6640625" style="97"/>
    <col min="10221" max="10221" width="21.6640625" style="97" customWidth="1"/>
    <col min="10222" max="10222" width="9.44140625" style="97" bestFit="1" customWidth="1"/>
    <col min="10223" max="10465" width="8.6640625" style="97"/>
    <col min="10466" max="10466" width="12.6640625" style="97" customWidth="1"/>
    <col min="10467" max="10467" width="60.33203125" style="97" customWidth="1"/>
    <col min="10468" max="10469" width="12.6640625" style="97" customWidth="1"/>
    <col min="10470" max="10470" width="12.33203125" style="97" bestFit="1" customWidth="1"/>
    <col min="10471" max="10471" width="15.6640625" style="97" customWidth="1"/>
    <col min="10472" max="10472" width="17.6640625" style="97" bestFit="1" customWidth="1"/>
    <col min="10473" max="10473" width="8.6640625" style="97"/>
    <col min="10474" max="10474" width="18" style="97" bestFit="1" customWidth="1"/>
    <col min="10475" max="10476" width="8.6640625" style="97"/>
    <col min="10477" max="10477" width="21.6640625" style="97" customWidth="1"/>
    <col min="10478" max="10478" width="9.44140625" style="97" bestFit="1" customWidth="1"/>
    <col min="10479" max="10721" width="8.6640625" style="97"/>
    <col min="10722" max="10722" width="12.6640625" style="97" customWidth="1"/>
    <col min="10723" max="10723" width="60.33203125" style="97" customWidth="1"/>
    <col min="10724" max="10725" width="12.6640625" style="97" customWidth="1"/>
    <col min="10726" max="10726" width="12.33203125" style="97" bestFit="1" customWidth="1"/>
    <col min="10727" max="10727" width="15.6640625" style="97" customWidth="1"/>
    <col min="10728" max="10728" width="17.6640625" style="97" bestFit="1" customWidth="1"/>
    <col min="10729" max="10729" width="8.6640625" style="97"/>
    <col min="10730" max="10730" width="18" style="97" bestFit="1" customWidth="1"/>
    <col min="10731" max="10732" width="8.6640625" style="97"/>
    <col min="10733" max="10733" width="21.6640625" style="97" customWidth="1"/>
    <col min="10734" max="10734" width="9.44140625" style="97" bestFit="1" customWidth="1"/>
    <col min="10735" max="10977" width="8.6640625" style="97"/>
    <col min="10978" max="10978" width="12.6640625" style="97" customWidth="1"/>
    <col min="10979" max="10979" width="60.33203125" style="97" customWidth="1"/>
    <col min="10980" max="10981" width="12.6640625" style="97" customWidth="1"/>
    <col min="10982" max="10982" width="12.33203125" style="97" bestFit="1" customWidth="1"/>
    <col min="10983" max="10983" width="15.6640625" style="97" customWidth="1"/>
    <col min="10984" max="10984" width="17.6640625" style="97" bestFit="1" customWidth="1"/>
    <col min="10985" max="10985" width="8.6640625" style="97"/>
    <col min="10986" max="10986" width="18" style="97" bestFit="1" customWidth="1"/>
    <col min="10987" max="10988" width="8.6640625" style="97"/>
    <col min="10989" max="10989" width="21.6640625" style="97" customWidth="1"/>
    <col min="10990" max="10990" width="9.44140625" style="97" bestFit="1" customWidth="1"/>
    <col min="10991" max="11233" width="8.6640625" style="97"/>
    <col min="11234" max="11234" width="12.6640625" style="97" customWidth="1"/>
    <col min="11235" max="11235" width="60.33203125" style="97" customWidth="1"/>
    <col min="11236" max="11237" width="12.6640625" style="97" customWidth="1"/>
    <col min="11238" max="11238" width="12.33203125" style="97" bestFit="1" customWidth="1"/>
    <col min="11239" max="11239" width="15.6640625" style="97" customWidth="1"/>
    <col min="11240" max="11240" width="17.6640625" style="97" bestFit="1" customWidth="1"/>
    <col min="11241" max="11241" width="8.6640625" style="97"/>
    <col min="11242" max="11242" width="18" style="97" bestFit="1" customWidth="1"/>
    <col min="11243" max="11244" width="8.6640625" style="97"/>
    <col min="11245" max="11245" width="21.6640625" style="97" customWidth="1"/>
    <col min="11246" max="11246" width="9.44140625" style="97" bestFit="1" customWidth="1"/>
    <col min="11247" max="11489" width="8.6640625" style="97"/>
    <col min="11490" max="11490" width="12.6640625" style="97" customWidth="1"/>
    <col min="11491" max="11491" width="60.33203125" style="97" customWidth="1"/>
    <col min="11492" max="11493" width="12.6640625" style="97" customWidth="1"/>
    <col min="11494" max="11494" width="12.33203125" style="97" bestFit="1" customWidth="1"/>
    <col min="11495" max="11495" width="15.6640625" style="97" customWidth="1"/>
    <col min="11496" max="11496" width="17.6640625" style="97" bestFit="1" customWidth="1"/>
    <col min="11497" max="11497" width="8.6640625" style="97"/>
    <col min="11498" max="11498" width="18" style="97" bestFit="1" customWidth="1"/>
    <col min="11499" max="11500" width="8.6640625" style="97"/>
    <col min="11501" max="11501" width="21.6640625" style="97" customWidth="1"/>
    <col min="11502" max="11502" width="9.44140625" style="97" bestFit="1" customWidth="1"/>
    <col min="11503" max="11745" width="8.6640625" style="97"/>
    <col min="11746" max="11746" width="12.6640625" style="97" customWidth="1"/>
    <col min="11747" max="11747" width="60.33203125" style="97" customWidth="1"/>
    <col min="11748" max="11749" width="12.6640625" style="97" customWidth="1"/>
    <col min="11750" max="11750" width="12.33203125" style="97" bestFit="1" customWidth="1"/>
    <col min="11751" max="11751" width="15.6640625" style="97" customWidth="1"/>
    <col min="11752" max="11752" width="17.6640625" style="97" bestFit="1" customWidth="1"/>
    <col min="11753" max="11753" width="8.6640625" style="97"/>
    <col min="11754" max="11754" width="18" style="97" bestFit="1" customWidth="1"/>
    <col min="11755" max="11756" width="8.6640625" style="97"/>
    <col min="11757" max="11757" width="21.6640625" style="97" customWidth="1"/>
    <col min="11758" max="11758" width="9.44140625" style="97" bestFit="1" customWidth="1"/>
    <col min="11759" max="12001" width="8.6640625" style="97"/>
    <col min="12002" max="12002" width="12.6640625" style="97" customWidth="1"/>
    <col min="12003" max="12003" width="60.33203125" style="97" customWidth="1"/>
    <col min="12004" max="12005" width="12.6640625" style="97" customWidth="1"/>
    <col min="12006" max="12006" width="12.33203125" style="97" bestFit="1" customWidth="1"/>
    <col min="12007" max="12007" width="15.6640625" style="97" customWidth="1"/>
    <col min="12008" max="12008" width="17.6640625" style="97" bestFit="1" customWidth="1"/>
    <col min="12009" max="12009" width="8.6640625" style="97"/>
    <col min="12010" max="12010" width="18" style="97" bestFit="1" customWidth="1"/>
    <col min="12011" max="12012" width="8.6640625" style="97"/>
    <col min="12013" max="12013" width="21.6640625" style="97" customWidth="1"/>
    <col min="12014" max="12014" width="9.44140625" style="97" bestFit="1" customWidth="1"/>
    <col min="12015" max="12257" width="8.6640625" style="97"/>
    <col min="12258" max="12258" width="12.6640625" style="97" customWidth="1"/>
    <col min="12259" max="12259" width="60.33203125" style="97" customWidth="1"/>
    <col min="12260" max="12261" width="12.6640625" style="97" customWidth="1"/>
    <col min="12262" max="12262" width="12.33203125" style="97" bestFit="1" customWidth="1"/>
    <col min="12263" max="12263" width="15.6640625" style="97" customWidth="1"/>
    <col min="12264" max="12264" width="17.6640625" style="97" bestFit="1" customWidth="1"/>
    <col min="12265" max="12265" width="8.6640625" style="97"/>
    <col min="12266" max="12266" width="18" style="97" bestFit="1" customWidth="1"/>
    <col min="12267" max="12268" width="8.6640625" style="97"/>
    <col min="12269" max="12269" width="21.6640625" style="97" customWidth="1"/>
    <col min="12270" max="12270" width="9.44140625" style="97" bestFit="1" customWidth="1"/>
    <col min="12271" max="12513" width="8.6640625" style="97"/>
    <col min="12514" max="12514" width="12.6640625" style="97" customWidth="1"/>
    <col min="12515" max="12515" width="60.33203125" style="97" customWidth="1"/>
    <col min="12516" max="12517" width="12.6640625" style="97" customWidth="1"/>
    <col min="12518" max="12518" width="12.33203125" style="97" bestFit="1" customWidth="1"/>
    <col min="12519" max="12519" width="15.6640625" style="97" customWidth="1"/>
    <col min="12520" max="12520" width="17.6640625" style="97" bestFit="1" customWidth="1"/>
    <col min="12521" max="12521" width="8.6640625" style="97"/>
    <col min="12522" max="12522" width="18" style="97" bestFit="1" customWidth="1"/>
    <col min="12523" max="12524" width="8.6640625" style="97"/>
    <col min="12525" max="12525" width="21.6640625" style="97" customWidth="1"/>
    <col min="12526" max="12526" width="9.44140625" style="97" bestFit="1" customWidth="1"/>
    <col min="12527" max="12769" width="8.6640625" style="97"/>
    <col min="12770" max="12770" width="12.6640625" style="97" customWidth="1"/>
    <col min="12771" max="12771" width="60.33203125" style="97" customWidth="1"/>
    <col min="12772" max="12773" width="12.6640625" style="97" customWidth="1"/>
    <col min="12774" max="12774" width="12.33203125" style="97" bestFit="1" customWidth="1"/>
    <col min="12775" max="12775" width="15.6640625" style="97" customWidth="1"/>
    <col min="12776" max="12776" width="17.6640625" style="97" bestFit="1" customWidth="1"/>
    <col min="12777" max="12777" width="8.6640625" style="97"/>
    <col min="12778" max="12778" width="18" style="97" bestFit="1" customWidth="1"/>
    <col min="12779" max="12780" width="8.6640625" style="97"/>
    <col min="12781" max="12781" width="21.6640625" style="97" customWidth="1"/>
    <col min="12782" max="12782" width="9.44140625" style="97" bestFit="1" customWidth="1"/>
    <col min="12783" max="13025" width="8.6640625" style="97"/>
    <col min="13026" max="13026" width="12.6640625" style="97" customWidth="1"/>
    <col min="13027" max="13027" width="60.33203125" style="97" customWidth="1"/>
    <col min="13028" max="13029" width="12.6640625" style="97" customWidth="1"/>
    <col min="13030" max="13030" width="12.33203125" style="97" bestFit="1" customWidth="1"/>
    <col min="13031" max="13031" width="15.6640625" style="97" customWidth="1"/>
    <col min="13032" max="13032" width="17.6640625" style="97" bestFit="1" customWidth="1"/>
    <col min="13033" max="13033" width="8.6640625" style="97"/>
    <col min="13034" max="13034" width="18" style="97" bestFit="1" customWidth="1"/>
    <col min="13035" max="13036" width="8.6640625" style="97"/>
    <col min="13037" max="13037" width="21.6640625" style="97" customWidth="1"/>
    <col min="13038" max="13038" width="9.44140625" style="97" bestFit="1" customWidth="1"/>
    <col min="13039" max="13281" width="8.6640625" style="97"/>
    <col min="13282" max="13282" width="12.6640625" style="97" customWidth="1"/>
    <col min="13283" max="13283" width="60.33203125" style="97" customWidth="1"/>
    <col min="13284" max="13285" width="12.6640625" style="97" customWidth="1"/>
    <col min="13286" max="13286" width="12.33203125" style="97" bestFit="1" customWidth="1"/>
    <col min="13287" max="13287" width="15.6640625" style="97" customWidth="1"/>
    <col min="13288" max="13288" width="17.6640625" style="97" bestFit="1" customWidth="1"/>
    <col min="13289" max="13289" width="8.6640625" style="97"/>
    <col min="13290" max="13290" width="18" style="97" bestFit="1" customWidth="1"/>
    <col min="13291" max="13292" width="8.6640625" style="97"/>
    <col min="13293" max="13293" width="21.6640625" style="97" customWidth="1"/>
    <col min="13294" max="13294" width="9.44140625" style="97" bestFit="1" customWidth="1"/>
    <col min="13295" max="13537" width="8.6640625" style="97"/>
    <col min="13538" max="13538" width="12.6640625" style="97" customWidth="1"/>
    <col min="13539" max="13539" width="60.33203125" style="97" customWidth="1"/>
    <col min="13540" max="13541" width="12.6640625" style="97" customWidth="1"/>
    <col min="13542" max="13542" width="12.33203125" style="97" bestFit="1" customWidth="1"/>
    <col min="13543" max="13543" width="15.6640625" style="97" customWidth="1"/>
    <col min="13544" max="13544" width="17.6640625" style="97" bestFit="1" customWidth="1"/>
    <col min="13545" max="13545" width="8.6640625" style="97"/>
    <col min="13546" max="13546" width="18" style="97" bestFit="1" customWidth="1"/>
    <col min="13547" max="13548" width="8.6640625" style="97"/>
    <col min="13549" max="13549" width="21.6640625" style="97" customWidth="1"/>
    <col min="13550" max="13550" width="9.44140625" style="97" bestFit="1" customWidth="1"/>
    <col min="13551" max="13793" width="8.6640625" style="97"/>
    <col min="13794" max="13794" width="12.6640625" style="97" customWidth="1"/>
    <col min="13795" max="13795" width="60.33203125" style="97" customWidth="1"/>
    <col min="13796" max="13797" width="12.6640625" style="97" customWidth="1"/>
    <col min="13798" max="13798" width="12.33203125" style="97" bestFit="1" customWidth="1"/>
    <col min="13799" max="13799" width="15.6640625" style="97" customWidth="1"/>
    <col min="13800" max="13800" width="17.6640625" style="97" bestFit="1" customWidth="1"/>
    <col min="13801" max="13801" width="8.6640625" style="97"/>
    <col min="13802" max="13802" width="18" style="97" bestFit="1" customWidth="1"/>
    <col min="13803" max="13804" width="8.6640625" style="97"/>
    <col min="13805" max="13805" width="21.6640625" style="97" customWidth="1"/>
    <col min="13806" max="13806" width="9.44140625" style="97" bestFit="1" customWidth="1"/>
    <col min="13807" max="14049" width="8.6640625" style="97"/>
    <col min="14050" max="14050" width="12.6640625" style="97" customWidth="1"/>
    <col min="14051" max="14051" width="60.33203125" style="97" customWidth="1"/>
    <col min="14052" max="14053" width="12.6640625" style="97" customWidth="1"/>
    <col min="14054" max="14054" width="12.33203125" style="97" bestFit="1" customWidth="1"/>
    <col min="14055" max="14055" width="15.6640625" style="97" customWidth="1"/>
    <col min="14056" max="14056" width="17.6640625" style="97" bestFit="1" customWidth="1"/>
    <col min="14057" max="14057" width="8.6640625" style="97"/>
    <col min="14058" max="14058" width="18" style="97" bestFit="1" customWidth="1"/>
    <col min="14059" max="14060" width="8.6640625" style="97"/>
    <col min="14061" max="14061" width="21.6640625" style="97" customWidth="1"/>
    <col min="14062" max="14062" width="9.44140625" style="97" bestFit="1" customWidth="1"/>
    <col min="14063" max="14305" width="8.6640625" style="97"/>
    <col min="14306" max="14306" width="12.6640625" style="97" customWidth="1"/>
    <col min="14307" max="14307" width="60.33203125" style="97" customWidth="1"/>
    <col min="14308" max="14309" width="12.6640625" style="97" customWidth="1"/>
    <col min="14310" max="14310" width="12.33203125" style="97" bestFit="1" customWidth="1"/>
    <col min="14311" max="14311" width="15.6640625" style="97" customWidth="1"/>
    <col min="14312" max="14312" width="17.6640625" style="97" bestFit="1" customWidth="1"/>
    <col min="14313" max="14313" width="8.6640625" style="97"/>
    <col min="14314" max="14314" width="18" style="97" bestFit="1" customWidth="1"/>
    <col min="14315" max="14316" width="8.6640625" style="97"/>
    <col min="14317" max="14317" width="21.6640625" style="97" customWidth="1"/>
    <col min="14318" max="14318" width="9.44140625" style="97" bestFit="1" customWidth="1"/>
    <col min="14319" max="14561" width="8.6640625" style="97"/>
    <col min="14562" max="14562" width="12.6640625" style="97" customWidth="1"/>
    <col min="14563" max="14563" width="60.33203125" style="97" customWidth="1"/>
    <col min="14564" max="14565" width="12.6640625" style="97" customWidth="1"/>
    <col min="14566" max="14566" width="12.33203125" style="97" bestFit="1" customWidth="1"/>
    <col min="14567" max="14567" width="15.6640625" style="97" customWidth="1"/>
    <col min="14568" max="14568" width="17.6640625" style="97" bestFit="1" customWidth="1"/>
    <col min="14569" max="14569" width="8.6640625" style="97"/>
    <col min="14570" max="14570" width="18" style="97" bestFit="1" customWidth="1"/>
    <col min="14571" max="14572" width="8.6640625" style="97"/>
    <col min="14573" max="14573" width="21.6640625" style="97" customWidth="1"/>
    <col min="14574" max="14574" width="9.44140625" style="97" bestFit="1" customWidth="1"/>
    <col min="14575" max="14817" width="8.6640625" style="97"/>
    <col min="14818" max="14818" width="12.6640625" style="97" customWidth="1"/>
    <col min="14819" max="14819" width="60.33203125" style="97" customWidth="1"/>
    <col min="14820" max="14821" width="12.6640625" style="97" customWidth="1"/>
    <col min="14822" max="14822" width="12.33203125" style="97" bestFit="1" customWidth="1"/>
    <col min="14823" max="14823" width="15.6640625" style="97" customWidth="1"/>
    <col min="14824" max="14824" width="17.6640625" style="97" bestFit="1" customWidth="1"/>
    <col min="14825" max="14825" width="8.6640625" style="97"/>
    <col min="14826" max="14826" width="18" style="97" bestFit="1" customWidth="1"/>
    <col min="14827" max="14828" width="8.6640625" style="97"/>
    <col min="14829" max="14829" width="21.6640625" style="97" customWidth="1"/>
    <col min="14830" max="14830" width="9.44140625" style="97" bestFit="1" customWidth="1"/>
    <col min="14831" max="15073" width="8.6640625" style="97"/>
    <col min="15074" max="15074" width="12.6640625" style="97" customWidth="1"/>
    <col min="15075" max="15075" width="60.33203125" style="97" customWidth="1"/>
    <col min="15076" max="15077" width="12.6640625" style="97" customWidth="1"/>
    <col min="15078" max="15078" width="12.33203125" style="97" bestFit="1" customWidth="1"/>
    <col min="15079" max="15079" width="15.6640625" style="97" customWidth="1"/>
    <col min="15080" max="15080" width="17.6640625" style="97" bestFit="1" customWidth="1"/>
    <col min="15081" max="15081" width="8.6640625" style="97"/>
    <col min="15082" max="15082" width="18" style="97" bestFit="1" customWidth="1"/>
    <col min="15083" max="15084" width="8.6640625" style="97"/>
    <col min="15085" max="15085" width="21.6640625" style="97" customWidth="1"/>
    <col min="15086" max="15086" width="9.44140625" style="97" bestFit="1" customWidth="1"/>
    <col min="15087" max="15329" width="8.6640625" style="97"/>
    <col min="15330" max="15330" width="12.6640625" style="97" customWidth="1"/>
    <col min="15331" max="15331" width="60.33203125" style="97" customWidth="1"/>
    <col min="15332" max="15333" width="12.6640625" style="97" customWidth="1"/>
    <col min="15334" max="15334" width="12.33203125" style="97" bestFit="1" customWidth="1"/>
    <col min="15335" max="15335" width="15.6640625" style="97" customWidth="1"/>
    <col min="15336" max="15336" width="17.6640625" style="97" bestFit="1" customWidth="1"/>
    <col min="15337" max="15337" width="8.6640625" style="97"/>
    <col min="15338" max="15338" width="18" style="97" bestFit="1" customWidth="1"/>
    <col min="15339" max="15340" width="8.6640625" style="97"/>
    <col min="15341" max="15341" width="21.6640625" style="97" customWidth="1"/>
    <col min="15342" max="15342" width="9.44140625" style="97" bestFit="1" customWidth="1"/>
    <col min="15343" max="15585" width="8.6640625" style="97"/>
    <col min="15586" max="15586" width="12.6640625" style="97" customWidth="1"/>
    <col min="15587" max="15587" width="60.33203125" style="97" customWidth="1"/>
    <col min="15588" max="15589" width="12.6640625" style="97" customWidth="1"/>
    <col min="15590" max="15590" width="12.33203125" style="97" bestFit="1" customWidth="1"/>
    <col min="15591" max="15591" width="15.6640625" style="97" customWidth="1"/>
    <col min="15592" max="15592" width="17.6640625" style="97" bestFit="1" customWidth="1"/>
    <col min="15593" max="15593" width="8.6640625" style="97"/>
    <col min="15594" max="15594" width="18" style="97" bestFit="1" customWidth="1"/>
    <col min="15595" max="15596" width="8.6640625" style="97"/>
    <col min="15597" max="15597" width="21.6640625" style="97" customWidth="1"/>
    <col min="15598" max="15598" width="9.44140625" style="97" bestFit="1" customWidth="1"/>
    <col min="15599" max="15841" width="8.6640625" style="97"/>
    <col min="15842" max="15842" width="12.6640625" style="97" customWidth="1"/>
    <col min="15843" max="15843" width="60.33203125" style="97" customWidth="1"/>
    <col min="15844" max="15845" width="12.6640625" style="97" customWidth="1"/>
    <col min="15846" max="15846" width="12.33203125" style="97" bestFit="1" customWidth="1"/>
    <col min="15847" max="15847" width="15.6640625" style="97" customWidth="1"/>
    <col min="15848" max="15848" width="17.6640625" style="97" bestFit="1" customWidth="1"/>
    <col min="15849" max="15849" width="8.6640625" style="97"/>
    <col min="15850" max="15850" width="18" style="97" bestFit="1" customWidth="1"/>
    <col min="15851" max="15852" width="8.6640625" style="97"/>
    <col min="15853" max="15853" width="21.6640625" style="97" customWidth="1"/>
    <col min="15854" max="15854" width="9.44140625" style="97" bestFit="1" customWidth="1"/>
    <col min="15855" max="16097" width="8.6640625" style="97"/>
    <col min="16098" max="16098" width="12.6640625" style="97" customWidth="1"/>
    <col min="16099" max="16099" width="60.33203125" style="97" customWidth="1"/>
    <col min="16100" max="16101" width="12.6640625" style="97" customWidth="1"/>
    <col min="16102" max="16102" width="12.33203125" style="97" bestFit="1" customWidth="1"/>
    <col min="16103" max="16103" width="15.6640625" style="97" customWidth="1"/>
    <col min="16104" max="16104" width="17.6640625" style="97" bestFit="1" customWidth="1"/>
    <col min="16105" max="16105" width="8.6640625" style="97"/>
    <col min="16106" max="16106" width="18" style="97" bestFit="1" customWidth="1"/>
    <col min="16107" max="16108" width="8.6640625" style="97"/>
    <col min="16109" max="16109" width="21.6640625" style="97" customWidth="1"/>
    <col min="16110" max="16110" width="9.44140625" style="97" bestFit="1" customWidth="1"/>
    <col min="16111" max="16384" width="8.6640625" style="97"/>
  </cols>
  <sheetData>
    <row r="1" spans="1:17" ht="81" customHeight="1" thickBot="1">
      <c r="A1" s="538" t="s">
        <v>94</v>
      </c>
      <c r="B1" s="539"/>
      <c r="C1" s="540" t="str">
        <f>'Custo Gerencial LOTE 02'!C2:E2</f>
        <v>BR-116/PR/SC (PLANALTO SUL)
BR-376/PR - BR-101/SC (LITORAL SUL)
BR-101/SC (ViaCosteira)</v>
      </c>
      <c r="D1" s="540"/>
      <c r="E1" s="540"/>
      <c r="F1" s="293"/>
      <c r="G1" s="293"/>
      <c r="H1" s="143">
        <f>'Custo Gerencial LOTE 02'!C3</f>
        <v>1039.02</v>
      </c>
    </row>
    <row r="2" spans="1:17" ht="19.95" customHeight="1" thickBot="1">
      <c r="A2" s="98"/>
      <c r="B2" s="99"/>
      <c r="C2" s="99"/>
      <c r="D2" s="99"/>
      <c r="E2" s="100"/>
      <c r="F2" s="100"/>
      <c r="G2" s="100"/>
      <c r="L2" s="101" t="s">
        <v>95</v>
      </c>
      <c r="M2" s="67">
        <v>400</v>
      </c>
    </row>
    <row r="3" spans="1:17" ht="19.95" customHeight="1">
      <c r="A3" s="144" t="s">
        <v>75</v>
      </c>
      <c r="B3" s="535" t="s">
        <v>76</v>
      </c>
      <c r="C3" s="535"/>
      <c r="D3" s="535"/>
      <c r="E3" s="535"/>
      <c r="F3" s="536"/>
      <c r="G3" s="536"/>
      <c r="H3" s="537"/>
      <c r="L3" s="541" t="s">
        <v>96</v>
      </c>
      <c r="M3" s="542"/>
      <c r="N3" s="542"/>
      <c r="O3" s="542"/>
      <c r="P3" s="542"/>
      <c r="Q3" s="543"/>
    </row>
    <row r="4" spans="1:17" ht="19.95" customHeight="1">
      <c r="A4" s="102" t="s">
        <v>12</v>
      </c>
      <c r="B4" s="103" t="s">
        <v>14</v>
      </c>
      <c r="C4" s="103" t="s">
        <v>15</v>
      </c>
      <c r="D4" s="103" t="s">
        <v>16</v>
      </c>
      <c r="E4" s="103" t="s">
        <v>97</v>
      </c>
      <c r="F4" s="294" t="s">
        <v>255</v>
      </c>
      <c r="G4" s="294" t="s">
        <v>257</v>
      </c>
      <c r="H4" s="104" t="s">
        <v>98</v>
      </c>
      <c r="L4" s="209" t="s">
        <v>99</v>
      </c>
      <c r="M4" s="210" t="s">
        <v>100</v>
      </c>
      <c r="N4" s="210" t="s">
        <v>101</v>
      </c>
      <c r="O4" s="210" t="s">
        <v>102</v>
      </c>
      <c r="P4" s="210" t="s">
        <v>103</v>
      </c>
      <c r="Q4" s="210" t="s">
        <v>104</v>
      </c>
    </row>
    <row r="5" spans="1:17" ht="19.95" customHeight="1">
      <c r="A5" s="105"/>
      <c r="B5" s="35" t="str">
        <f>B3</f>
        <v>Relatório de Apoio na Análise da Monitoração do Pavimento</v>
      </c>
      <c r="C5" s="36"/>
      <c r="D5" s="106"/>
      <c r="E5" s="39"/>
      <c r="F5" s="295"/>
      <c r="G5" s="295"/>
      <c r="H5" s="345">
        <f>H17+H19</f>
        <v>446247.93916386185</v>
      </c>
      <c r="L5" s="209" t="s">
        <v>105</v>
      </c>
      <c r="M5" s="211">
        <f>264*Q6</f>
        <v>2112</v>
      </c>
      <c r="N5" s="209">
        <v>12</v>
      </c>
      <c r="O5" s="209"/>
      <c r="P5" s="209"/>
      <c r="Q5" s="209"/>
    </row>
    <row r="6" spans="1:17" ht="19.95" customHeight="1">
      <c r="A6" s="105">
        <v>1</v>
      </c>
      <c r="B6" s="35" t="s">
        <v>106</v>
      </c>
      <c r="C6" s="36"/>
      <c r="D6" s="106"/>
      <c r="E6" s="39"/>
      <c r="F6" s="295"/>
      <c r="G6" s="351">
        <f>SUM(G7:G9)</f>
        <v>101188.64310576528</v>
      </c>
      <c r="H6" s="345">
        <f>SUM(H7:H9)</f>
        <v>109834.95327394012</v>
      </c>
      <c r="L6" s="209"/>
      <c r="M6" s="209"/>
      <c r="N6" s="209"/>
      <c r="O6" s="212">
        <f>P6*Q6</f>
        <v>176</v>
      </c>
      <c r="P6" s="209">
        <v>22</v>
      </c>
      <c r="Q6" s="212">
        <v>8</v>
      </c>
    </row>
    <row r="7" spans="1:17" ht="19.95" customHeight="1">
      <c r="A7" s="32" t="s">
        <v>655</v>
      </c>
      <c r="B7" s="37" t="str">
        <f>CONCATENATE(VLOOKUP(A7,'Planilha base'!$C$11:$K$35,9,FALSE)," - Pavimentação")</f>
        <v>Engenheiro de projetos sênior - Pavimentação</v>
      </c>
      <c r="C7" s="36" t="s">
        <v>107</v>
      </c>
      <c r="D7" s="179">
        <f>($J$7*$H$1)/$M$2</f>
        <v>228.58439999999999</v>
      </c>
      <c r="E7" s="343">
        <f>VLOOKUP(A7,'Planilha base'!$C$11:$K$35,6,FALSE)/'Planilha base'!$H$38</f>
        <v>76.099786289659704</v>
      </c>
      <c r="F7" s="284">
        <f>VLOOKUP(A7,'Planilha base'!$C$11:$K$35,4,FALSE)</f>
        <v>0.86</v>
      </c>
      <c r="G7" s="352">
        <f>D7*E7*F7</f>
        <v>14959.892630669077</v>
      </c>
      <c r="H7" s="346">
        <f>D7*E7</f>
        <v>17395.22398915009</v>
      </c>
      <c r="J7" s="108">
        <f>O7</f>
        <v>88</v>
      </c>
      <c r="L7" s="213"/>
      <c r="M7" s="213"/>
      <c r="N7" s="214">
        <v>0.5</v>
      </c>
      <c r="O7" s="212">
        <f>O6*(N7)</f>
        <v>88</v>
      </c>
      <c r="P7" s="213"/>
      <c r="Q7" s="213"/>
    </row>
    <row r="8" spans="1:17" ht="19.95" customHeight="1">
      <c r="A8" s="32" t="s">
        <v>651</v>
      </c>
      <c r="B8" s="37" t="str">
        <f>VLOOKUP(A8,'Planilha base'!$C$11:$K$35,9,FALSE)</f>
        <v>Engenheiro de projetos júnior</v>
      </c>
      <c r="C8" s="36" t="s">
        <v>107</v>
      </c>
      <c r="D8" s="179">
        <f>(($J$7*$H$1)/$M$2+(('Planalto Sul'!W5+'Litoral Sul'!W5+ViaCosteira!K5)*8))</f>
        <v>1431.2510666666667</v>
      </c>
      <c r="E8" s="343">
        <f>VLOOKUP(A8,'Planilha base'!$C$11:$K$35,6,FALSE)/'Planilha base'!$H$38</f>
        <v>51.235684147076547</v>
      </c>
      <c r="F8" s="284">
        <f>VLOOKUP(A8,'Planilha base'!$C$11:$K$35,4,FALSE)</f>
        <v>0.89</v>
      </c>
      <c r="G8" s="352">
        <f t="shared" ref="G8:G9" si="0">D8*E8*F8</f>
        <v>65264.703552340761</v>
      </c>
      <c r="H8" s="346">
        <f>D8*E8</f>
        <v>73331.127586899733</v>
      </c>
      <c r="N8" s="109"/>
      <c r="O8" s="110"/>
    </row>
    <row r="9" spans="1:17" ht="19.95" customHeight="1">
      <c r="A9" s="32" t="s">
        <v>719</v>
      </c>
      <c r="B9" s="37" t="str">
        <f>VLOOKUP(A9,'Planilha base'!$C$11:$K$35,9,FALSE)</f>
        <v>Técnico de obras</v>
      </c>
      <c r="C9" s="36" t="s">
        <v>107</v>
      </c>
      <c r="D9" s="179">
        <f>(($J$7*$H$1)/$M$2+(('Planalto Sul'!W5+'Litoral Sul'!W5+ViaCosteira!K5)*8))</f>
        <v>1431.2510666666667</v>
      </c>
      <c r="E9" s="343">
        <f>VLOOKUP(A9,'Planilha base'!$C$11:$K$35,6,FALSE)/'Planilha base'!$H$38</f>
        <v>13.350978135788262</v>
      </c>
      <c r="F9" s="284">
        <f>VLOOKUP(A9,'Planilha base'!$C$11:$K$35,4,FALSE)</f>
        <v>1.0971</v>
      </c>
      <c r="G9" s="352">
        <f t="shared" si="0"/>
        <v>20964.046922755442</v>
      </c>
      <c r="H9" s="346">
        <f>D9*E9</f>
        <v>19108.601697890295</v>
      </c>
      <c r="N9" s="82"/>
    </row>
    <row r="10" spans="1:17" ht="19.95" customHeight="1">
      <c r="A10" s="107"/>
      <c r="B10" s="37"/>
      <c r="C10" s="36"/>
      <c r="D10" s="111"/>
      <c r="E10" s="205"/>
      <c r="F10" s="284"/>
      <c r="G10" s="284"/>
      <c r="H10" s="346"/>
      <c r="Q10" s="112"/>
    </row>
    <row r="11" spans="1:17" ht="19.95" customHeight="1">
      <c r="A11" s="105">
        <v>2</v>
      </c>
      <c r="B11" s="35" t="s">
        <v>334</v>
      </c>
      <c r="C11" s="113"/>
      <c r="D11" s="106"/>
      <c r="E11" s="362"/>
      <c r="F11" s="285"/>
      <c r="G11" s="285"/>
      <c r="H11" s="345">
        <f>SUM(H12:H12)</f>
        <v>24098.894706562358</v>
      </c>
      <c r="O11" s="114"/>
    </row>
    <row r="12" spans="1:17" ht="19.95" customHeight="1">
      <c r="A12" s="32" t="s">
        <v>335</v>
      </c>
      <c r="B12" s="45" t="s">
        <v>334</v>
      </c>
      <c r="C12" s="47" t="s">
        <v>52</v>
      </c>
      <c r="D12" s="111">
        <f>H6+G6</f>
        <v>211023.59637970541</v>
      </c>
      <c r="E12" s="206">
        <f>'Planilha base'!$H$39</f>
        <v>0.1142</v>
      </c>
      <c r="F12" s="281"/>
      <c r="G12" s="281"/>
      <c r="H12" s="346">
        <f>D12*E12</f>
        <v>24098.894706562358</v>
      </c>
    </row>
    <row r="13" spans="1:17" ht="19.95" customHeight="1">
      <c r="A13" s="107"/>
      <c r="B13" s="37"/>
      <c r="C13" s="36"/>
      <c r="D13" s="111"/>
      <c r="E13" s="205"/>
      <c r="F13" s="284"/>
      <c r="G13" s="284"/>
      <c r="H13" s="346"/>
    </row>
    <row r="14" spans="1:17" ht="19.95" customHeight="1">
      <c r="A14" s="105">
        <v>3</v>
      </c>
      <c r="B14" s="35" t="s">
        <v>333</v>
      </c>
      <c r="C14" s="113"/>
      <c r="D14" s="106"/>
      <c r="E14" s="362"/>
      <c r="F14" s="285"/>
      <c r="G14" s="285"/>
      <c r="H14" s="345">
        <f>SUM(H15:H16)</f>
        <v>68688.180621594118</v>
      </c>
    </row>
    <row r="15" spans="1:17" s="116" customFormat="1" ht="19.95" customHeight="1">
      <c r="A15" s="32" t="s">
        <v>336</v>
      </c>
      <c r="B15" s="37" t="s">
        <v>67</v>
      </c>
      <c r="C15" s="47" t="s">
        <v>52</v>
      </c>
      <c r="D15" s="111">
        <f>H6+G6</f>
        <v>211023.59637970541</v>
      </c>
      <c r="E15" s="206">
        <f>'Planilha base'!$H$40</f>
        <v>0.12</v>
      </c>
      <c r="F15" s="281"/>
      <c r="G15" s="281"/>
      <c r="H15" s="346">
        <f>D15*E15</f>
        <v>25322.831565564647</v>
      </c>
    </row>
    <row r="16" spans="1:17" s="116" customFormat="1" ht="19.95" customHeight="1">
      <c r="A16" s="32" t="s">
        <v>108</v>
      </c>
      <c r="B16" s="37" t="s">
        <v>68</v>
      </c>
      <c r="C16" s="47" t="s">
        <v>52</v>
      </c>
      <c r="D16" s="111">
        <f>H6+G6</f>
        <v>211023.59637970541</v>
      </c>
      <c r="E16" s="206">
        <f>'Planilha base'!$H$41</f>
        <v>0.20550000000000002</v>
      </c>
      <c r="F16" s="281"/>
      <c r="G16" s="281"/>
      <c r="H16" s="346">
        <f>D16*E16</f>
        <v>43365.349056029467</v>
      </c>
    </row>
    <row r="17" spans="1:18" s="116" customFormat="1" ht="19.95" customHeight="1">
      <c r="A17" s="32"/>
      <c r="B17" s="37"/>
      <c r="C17" s="47"/>
      <c r="D17" s="111"/>
      <c r="E17" s="206"/>
      <c r="F17" s="281"/>
      <c r="G17" s="281"/>
      <c r="H17" s="345">
        <f>G6+H6+H11+H14</f>
        <v>303810.67170786188</v>
      </c>
    </row>
    <row r="18" spans="1:18" s="116" customFormat="1" ht="19.95" customHeight="1">
      <c r="A18" s="32"/>
      <c r="B18" s="37"/>
      <c r="C18" s="47"/>
      <c r="D18" s="111"/>
      <c r="E18" s="206"/>
      <c r="F18" s="281"/>
      <c r="G18" s="281"/>
      <c r="H18" s="346"/>
    </row>
    <row r="19" spans="1:18" s="116" customFormat="1" ht="19.95" customHeight="1">
      <c r="A19" s="117" t="s">
        <v>110</v>
      </c>
      <c r="B19" s="118" t="s">
        <v>19</v>
      </c>
      <c r="C19" s="119" t="s">
        <v>107</v>
      </c>
      <c r="D19" s="120">
        <f>SUM(D7:D9)</f>
        <v>3091.0865333333331</v>
      </c>
      <c r="E19" s="349">
        <f>'Custo Gerencial LOTE 02'!$I$66</f>
        <v>46.08</v>
      </c>
      <c r="F19" s="296"/>
      <c r="G19" s="296"/>
      <c r="H19" s="347">
        <f>D19*E19</f>
        <v>142437.26745599997</v>
      </c>
    </row>
    <row r="20" spans="1:18" s="116" customFormat="1" ht="19.95" customHeight="1">
      <c r="A20" s="32"/>
      <c r="B20" s="37"/>
      <c r="C20" s="47"/>
      <c r="D20" s="111"/>
      <c r="E20" s="206"/>
      <c r="F20" s="281"/>
      <c r="G20" s="281"/>
      <c r="H20" s="346"/>
    </row>
    <row r="21" spans="1:18" s="116" customFormat="1" ht="19.95" customHeight="1" thickBot="1">
      <c r="A21" s="121"/>
      <c r="B21" s="122" t="s">
        <v>111</v>
      </c>
      <c r="C21" s="123" t="s">
        <v>57</v>
      </c>
      <c r="D21" s="124">
        <v>1</v>
      </c>
      <c r="E21" s="363">
        <f>H5</f>
        <v>446247.93916386185</v>
      </c>
      <c r="F21" s="364"/>
      <c r="G21" s="364"/>
      <c r="H21" s="348">
        <f>E21*D21</f>
        <v>446247.93916386185</v>
      </c>
      <c r="L21" s="125"/>
      <c r="M21" s="125"/>
      <c r="N21" s="125"/>
      <c r="O21" s="125"/>
      <c r="P21" s="125"/>
      <c r="Q21" s="125"/>
      <c r="R21" s="125"/>
    </row>
    <row r="22" spans="1:18" ht="19.95" customHeight="1" thickBot="1">
      <c r="A22" s="126"/>
      <c r="B22" s="126"/>
      <c r="C22" s="126"/>
      <c r="D22" s="126"/>
      <c r="E22" s="126"/>
      <c r="F22" s="126"/>
      <c r="G22" s="126"/>
      <c r="H22" s="126"/>
      <c r="L22" s="127"/>
      <c r="M22" s="127"/>
      <c r="N22" s="127"/>
      <c r="O22" s="127"/>
      <c r="P22" s="127"/>
      <c r="Q22" s="127"/>
      <c r="R22" s="127"/>
    </row>
    <row r="23" spans="1:18" ht="19.95" customHeight="1">
      <c r="A23" s="144" t="s">
        <v>77</v>
      </c>
      <c r="B23" s="535" t="s">
        <v>78</v>
      </c>
      <c r="C23" s="535"/>
      <c r="D23" s="535"/>
      <c r="E23" s="535"/>
      <c r="F23" s="536"/>
      <c r="G23" s="536"/>
      <c r="H23" s="537"/>
    </row>
    <row r="24" spans="1:18" ht="19.95" customHeight="1">
      <c r="A24" s="102" t="s">
        <v>12</v>
      </c>
      <c r="B24" s="103" t="s">
        <v>14</v>
      </c>
      <c r="C24" s="103" t="s">
        <v>15</v>
      </c>
      <c r="D24" s="103" t="s">
        <v>16</v>
      </c>
      <c r="E24" s="103" t="s">
        <v>97</v>
      </c>
      <c r="F24" s="294" t="s">
        <v>255</v>
      </c>
      <c r="G24" s="294" t="s">
        <v>257</v>
      </c>
      <c r="H24" s="104" t="s">
        <v>98</v>
      </c>
    </row>
    <row r="25" spans="1:18" ht="19.95" customHeight="1">
      <c r="A25" s="105"/>
      <c r="B25" s="35" t="str">
        <f>B23</f>
        <v>Relatório de Apoio na Análise da Monitoração da Sinalização Horizontal</v>
      </c>
      <c r="C25" s="36"/>
      <c r="D25" s="106"/>
      <c r="E25" s="39"/>
      <c r="F25" s="295"/>
      <c r="G25" s="351"/>
      <c r="H25" s="345">
        <f>H37+H39</f>
        <v>293208.58292882488</v>
      </c>
    </row>
    <row r="26" spans="1:18" ht="19.95" customHeight="1">
      <c r="A26" s="105">
        <v>1</v>
      </c>
      <c r="B26" s="35" t="s">
        <v>106</v>
      </c>
      <c r="C26" s="36"/>
      <c r="D26" s="106"/>
      <c r="E26" s="39"/>
      <c r="F26" s="295"/>
      <c r="G26" s="351">
        <f>SUM(G27:G29)</f>
        <v>64607.714179975497</v>
      </c>
      <c r="H26" s="345">
        <f>SUM(H27:H29)</f>
        <v>69670.892581452863</v>
      </c>
    </row>
    <row r="27" spans="1:18" ht="19.95" customHeight="1">
      <c r="A27" s="32" t="s">
        <v>653</v>
      </c>
      <c r="B27" s="45" t="str">
        <f>CONCATENATE(VLOOKUP(A27,'Planilha base'!$C$11:$K$35,9,FALSE)," - Sinalização")</f>
        <v>Engenheiro de projetos pleno - Sinalização</v>
      </c>
      <c r="C27" s="48" t="s">
        <v>107</v>
      </c>
      <c r="D27" s="180">
        <f>(J27*$H$1)/$M$2</f>
        <v>124.6824</v>
      </c>
      <c r="E27" s="343">
        <f>VLOOKUP(A27,'Planilha base'!$C$11:$K$35,6,FALSE)/'Planilha base'!$H$38</f>
        <v>57.69094196942298</v>
      </c>
      <c r="F27" s="284">
        <f>VLOOKUP(A27,'Planilha base'!$C$11:$K$35,4,FALSE)</f>
        <v>0.87970000000000004</v>
      </c>
      <c r="G27" s="352">
        <f t="shared" ref="G27:G29" si="1">D27*E27*F27</f>
        <v>6327.721777116476</v>
      </c>
      <c r="H27" s="353">
        <f>D27*E27</f>
        <v>7193.0451030083841</v>
      </c>
      <c r="J27" s="97">
        <v>48</v>
      </c>
    </row>
    <row r="28" spans="1:18" ht="19.95" customHeight="1">
      <c r="A28" s="32" t="s">
        <v>651</v>
      </c>
      <c r="B28" s="37" t="str">
        <f>VLOOKUP(A28,'Planilha base'!$C$11:$K$35,9,FALSE)</f>
        <v>Engenheiro de projetos júnior</v>
      </c>
      <c r="C28" s="48" t="s">
        <v>107</v>
      </c>
      <c r="D28" s="180">
        <f>((J28*$H$1)/$M$2+(('Planalto Sul'!W6+'Litoral Sul'!W6+ViaCosteira!K6)*8))</f>
        <v>967.34906666666666</v>
      </c>
      <c r="E28" s="343">
        <f>VLOOKUP(A28,'Planilha base'!$C$11:$K$35,6,FALSE)/'Planilha base'!$H$38</f>
        <v>51.235684147076547</v>
      </c>
      <c r="F28" s="284">
        <f>VLOOKUP(A28,'Planilha base'!$C$11:$K$35,4,FALSE)</f>
        <v>0.89</v>
      </c>
      <c r="G28" s="352">
        <f t="shared" si="1"/>
        <v>44110.884203335343</v>
      </c>
      <c r="H28" s="353">
        <f>D28*E28</f>
        <v>49562.79123970263</v>
      </c>
      <c r="J28" s="97">
        <v>48</v>
      </c>
    </row>
    <row r="29" spans="1:18" ht="19.95" customHeight="1">
      <c r="A29" s="32" t="s">
        <v>719</v>
      </c>
      <c r="B29" s="37" t="str">
        <f>VLOOKUP(A29,'Planilha base'!$C$11:$K$35,9,FALSE)</f>
        <v>Técnico de obras</v>
      </c>
      <c r="C29" s="48" t="s">
        <v>107</v>
      </c>
      <c r="D29" s="180">
        <f>((J29*$H$1)/$M$2+(('Planalto Sul'!W6+'Litoral Sul'!W6+ViaCosteira!K6)*8))</f>
        <v>967.34906666666666</v>
      </c>
      <c r="E29" s="343">
        <f>VLOOKUP(A29,'Planilha base'!$C$11:$K$35,6,FALSE)/'Planilha base'!$H$38</f>
        <v>13.350978135788262</v>
      </c>
      <c r="F29" s="284">
        <f>VLOOKUP(A29,'Planilha base'!$C$11:$K$35,4,FALSE)</f>
        <v>1.0971</v>
      </c>
      <c r="G29" s="352">
        <f t="shared" si="1"/>
        <v>14169.108199523682</v>
      </c>
      <c r="H29" s="353">
        <f>D29*E29</f>
        <v>12915.056238741849</v>
      </c>
      <c r="J29" s="97">
        <v>48</v>
      </c>
    </row>
    <row r="30" spans="1:18" ht="19.95" customHeight="1">
      <c r="A30" s="107"/>
      <c r="B30" s="45"/>
      <c r="C30" s="48"/>
      <c r="D30" s="29"/>
      <c r="E30" s="47"/>
      <c r="F30" s="255"/>
      <c r="G30" s="352"/>
      <c r="H30" s="353"/>
    </row>
    <row r="31" spans="1:18" ht="19.95" customHeight="1">
      <c r="A31" s="105">
        <v>2</v>
      </c>
      <c r="B31" s="35" t="s">
        <v>334</v>
      </c>
      <c r="C31" s="181"/>
      <c r="D31" s="40"/>
      <c r="E31" s="39"/>
      <c r="F31" s="295"/>
      <c r="G31" s="351"/>
      <c r="H31" s="354">
        <f>SUM(H32)</f>
        <v>15334.616892155118</v>
      </c>
    </row>
    <row r="32" spans="1:18" ht="19.95" customHeight="1">
      <c r="A32" s="32" t="s">
        <v>335</v>
      </c>
      <c r="B32" s="45" t="s">
        <v>334</v>
      </c>
      <c r="C32" s="47" t="s">
        <v>52</v>
      </c>
      <c r="D32" s="29">
        <f>H26+G26</f>
        <v>134278.60676142835</v>
      </c>
      <c r="E32" s="206">
        <f>'Planilha base'!$H$39</f>
        <v>0.1142</v>
      </c>
      <c r="F32" s="281"/>
      <c r="G32" s="352"/>
      <c r="H32" s="353">
        <f>D32*E32</f>
        <v>15334.616892155118</v>
      </c>
    </row>
    <row r="33" spans="1:10" ht="19.95" customHeight="1">
      <c r="A33" s="32"/>
      <c r="B33" s="45"/>
      <c r="C33" s="47"/>
      <c r="D33" s="29"/>
      <c r="E33" s="206"/>
      <c r="F33" s="281"/>
      <c r="G33" s="352"/>
      <c r="H33" s="353"/>
    </row>
    <row r="34" spans="1:10" ht="19.95" customHeight="1">
      <c r="A34" s="105">
        <v>3</v>
      </c>
      <c r="B34" s="30" t="s">
        <v>109</v>
      </c>
      <c r="C34" s="181"/>
      <c r="D34" s="40"/>
      <c r="E34" s="39"/>
      <c r="F34" s="295"/>
      <c r="G34" s="351"/>
      <c r="H34" s="354">
        <f>SUM(H35:H36)</f>
        <v>48699.104299241422</v>
      </c>
    </row>
    <row r="35" spans="1:10" s="116" customFormat="1" ht="19.95" customHeight="1">
      <c r="A35" s="32" t="s">
        <v>336</v>
      </c>
      <c r="B35" s="45" t="s">
        <v>67</v>
      </c>
      <c r="C35" s="47" t="s">
        <v>52</v>
      </c>
      <c r="D35" s="29">
        <f>H26+G26+H31</f>
        <v>149613.22365358347</v>
      </c>
      <c r="E35" s="206">
        <f>'Planilha base'!$H$40</f>
        <v>0.12</v>
      </c>
      <c r="F35" s="281"/>
      <c r="G35" s="352"/>
      <c r="H35" s="353">
        <f>D35*E35</f>
        <v>17953.586838430016</v>
      </c>
    </row>
    <row r="36" spans="1:10" s="116" customFormat="1" ht="19.95" customHeight="1">
      <c r="A36" s="32" t="s">
        <v>108</v>
      </c>
      <c r="B36" s="37" t="s">
        <v>68</v>
      </c>
      <c r="C36" s="47" t="s">
        <v>52</v>
      </c>
      <c r="D36" s="29">
        <f>H26+G26+H31</f>
        <v>149613.22365358347</v>
      </c>
      <c r="E36" s="206">
        <f>'Planilha base'!$H$41</f>
        <v>0.20550000000000002</v>
      </c>
      <c r="F36" s="281"/>
      <c r="G36" s="352"/>
      <c r="H36" s="346">
        <f>D36*E36</f>
        <v>30745.517460811407</v>
      </c>
    </row>
    <row r="37" spans="1:10" s="116" customFormat="1" ht="19.95" customHeight="1">
      <c r="A37" s="32"/>
      <c r="B37" s="37"/>
      <c r="C37" s="47"/>
      <c r="D37" s="111"/>
      <c r="E37" s="206"/>
      <c r="F37" s="281"/>
      <c r="G37" s="352"/>
      <c r="H37" s="345">
        <f>H34+H31+H26+G26</f>
        <v>198312.32795282491</v>
      </c>
    </row>
    <row r="38" spans="1:10" s="116" customFormat="1" ht="19.95" customHeight="1">
      <c r="A38" s="32"/>
      <c r="B38" s="37"/>
      <c r="C38" s="47"/>
      <c r="D38" s="111"/>
      <c r="E38" s="206"/>
      <c r="F38" s="281"/>
      <c r="G38" s="352"/>
      <c r="H38" s="346"/>
    </row>
    <row r="39" spans="1:10" s="116" customFormat="1" ht="19.95" customHeight="1">
      <c r="A39" s="117" t="s">
        <v>110</v>
      </c>
      <c r="B39" s="118" t="s">
        <v>19</v>
      </c>
      <c r="C39" s="119" t="s">
        <v>107</v>
      </c>
      <c r="D39" s="120">
        <f>SUM(D27:D29)</f>
        <v>2059.380533333333</v>
      </c>
      <c r="E39" s="349">
        <f>'Custo Gerencial LOTE 02'!$I$66</f>
        <v>46.08</v>
      </c>
      <c r="F39" s="296"/>
      <c r="G39" s="355"/>
      <c r="H39" s="347">
        <f>D39*E39</f>
        <v>94896.254975999982</v>
      </c>
    </row>
    <row r="40" spans="1:10" s="116" customFormat="1" ht="19.95" customHeight="1">
      <c r="A40" s="32"/>
      <c r="B40" s="37"/>
      <c r="C40" s="47"/>
      <c r="D40" s="111"/>
      <c r="E40" s="115"/>
      <c r="F40" s="254"/>
      <c r="G40" s="356"/>
      <c r="H40" s="346"/>
    </row>
    <row r="41" spans="1:10" s="116" customFormat="1" ht="19.95" customHeight="1" thickBot="1">
      <c r="A41" s="121"/>
      <c r="B41" s="122" t="s">
        <v>111</v>
      </c>
      <c r="C41" s="123" t="s">
        <v>57</v>
      </c>
      <c r="D41" s="124">
        <v>1</v>
      </c>
      <c r="E41" s="350">
        <f>H25</f>
        <v>293208.58292882488</v>
      </c>
      <c r="F41" s="297"/>
      <c r="G41" s="357"/>
      <c r="H41" s="348">
        <f>E41*D41</f>
        <v>293208.58292882488</v>
      </c>
    </row>
    <row r="42" spans="1:10" ht="19.95" customHeight="1" thickBot="1">
      <c r="A42" s="126"/>
      <c r="B42" s="126"/>
      <c r="C42" s="126"/>
      <c r="D42" s="126"/>
      <c r="E42" s="126"/>
      <c r="F42" s="126"/>
      <c r="G42" s="126"/>
      <c r="H42" s="126"/>
    </row>
    <row r="43" spans="1:10" ht="19.95" customHeight="1">
      <c r="A43" s="144" t="s">
        <v>79</v>
      </c>
      <c r="B43" s="535" t="s">
        <v>80</v>
      </c>
      <c r="C43" s="535"/>
      <c r="D43" s="535"/>
      <c r="E43" s="535"/>
      <c r="F43" s="536"/>
      <c r="G43" s="536"/>
      <c r="H43" s="537"/>
    </row>
    <row r="44" spans="1:10" ht="19.95" customHeight="1">
      <c r="A44" s="102" t="s">
        <v>12</v>
      </c>
      <c r="B44" s="103" t="s">
        <v>14</v>
      </c>
      <c r="C44" s="103" t="s">
        <v>15</v>
      </c>
      <c r="D44" s="103" t="s">
        <v>16</v>
      </c>
      <c r="E44" s="103" t="s">
        <v>97</v>
      </c>
      <c r="F44" s="294" t="s">
        <v>255</v>
      </c>
      <c r="G44" s="294" t="s">
        <v>257</v>
      </c>
      <c r="H44" s="104" t="s">
        <v>98</v>
      </c>
    </row>
    <row r="45" spans="1:10" ht="19.95" customHeight="1">
      <c r="A45" s="105"/>
      <c r="B45" s="35" t="str">
        <f>B43</f>
        <v>Relatório de Apoio na Análise da Monitoração da Sinalização Vertical</v>
      </c>
      <c r="C45" s="36"/>
      <c r="D45" s="106"/>
      <c r="E45" s="39"/>
      <c r="F45" s="295"/>
      <c r="G45" s="351"/>
      <c r="H45" s="345">
        <f>H57+H59</f>
        <v>376999.3364583723</v>
      </c>
    </row>
    <row r="46" spans="1:10" ht="19.95" customHeight="1">
      <c r="A46" s="105">
        <v>1</v>
      </c>
      <c r="B46" s="35" t="s">
        <v>106</v>
      </c>
      <c r="C46" s="36"/>
      <c r="D46" s="106"/>
      <c r="E46" s="39"/>
      <c r="F46" s="295"/>
      <c r="G46" s="351">
        <f>SUM(G47:G49)</f>
        <v>82691.36580022618</v>
      </c>
      <c r="H46" s="345">
        <f>SUM(H47:H49)</f>
        <v>88959.912049800449</v>
      </c>
    </row>
    <row r="47" spans="1:10" ht="19.95" customHeight="1">
      <c r="A47" s="32" t="s">
        <v>653</v>
      </c>
      <c r="B47" s="45" t="str">
        <f>CONCATENATE(VLOOKUP(A47,'Planilha base'!$C$11:$K$35,9,FALSE)," - Sinalização")</f>
        <v>Engenheiro de projetos pleno - Sinalização</v>
      </c>
      <c r="C47" s="48" t="s">
        <v>107</v>
      </c>
      <c r="D47" s="180">
        <f>(J47*$H$1)/$M$2</f>
        <v>95.0963055</v>
      </c>
      <c r="E47" s="343">
        <f>VLOOKUP(A47,'Planilha base'!$C$11:$K$35,6,FALSE)/'Planilha base'!$H$38</f>
        <v>57.69094196942298</v>
      </c>
      <c r="F47" s="284">
        <f>VLOOKUP(A47,'Planilha base'!$C$11:$K$35,4,FALSE)</f>
        <v>0.87970000000000004</v>
      </c>
      <c r="G47" s="352">
        <f t="shared" ref="G47:G49" si="2">D47*E47*F47</f>
        <v>4826.2061304215449</v>
      </c>
      <c r="H47" s="346">
        <f>D47*E47</f>
        <v>5486.1954421070195</v>
      </c>
      <c r="J47" s="128">
        <v>36.61</v>
      </c>
    </row>
    <row r="48" spans="1:10" ht="19.95" customHeight="1">
      <c r="A48" s="32" t="s">
        <v>651</v>
      </c>
      <c r="B48" s="37" t="str">
        <f>VLOOKUP(A48,'Planilha base'!$C$11:$K$35,9,FALSE)</f>
        <v>Engenheiro de projetos júnior</v>
      </c>
      <c r="C48" s="48" t="s">
        <v>107</v>
      </c>
      <c r="D48" s="180">
        <f>((J48*$H$1)/$M$2+(('Planalto Sul'!W7+'Litoral Sul'!W7+ViaCosteira!K7)*8))</f>
        <v>1292.4296388333332</v>
      </c>
      <c r="E48" s="343">
        <f>VLOOKUP(A48,'Planilha base'!$C$11:$K$35,6,FALSE)/'Planilha base'!$H$38</f>
        <v>51.235684147076547</v>
      </c>
      <c r="F48" s="284">
        <f>VLOOKUP(A48,'Planilha base'!$C$11:$K$35,4,FALSE)</f>
        <v>0.89</v>
      </c>
      <c r="G48" s="352">
        <f t="shared" si="2"/>
        <v>58934.479914250544</v>
      </c>
      <c r="H48" s="346">
        <f>D48*E48</f>
        <v>66218.516757584875</v>
      </c>
      <c r="J48" s="128">
        <v>36.61</v>
      </c>
    </row>
    <row r="49" spans="1:10" ht="19.95" customHeight="1">
      <c r="A49" s="32" t="s">
        <v>719</v>
      </c>
      <c r="B49" s="37" t="str">
        <f>VLOOKUP(A49,'Planilha base'!$C$11:$K$35,9,FALSE)</f>
        <v>Técnico de obras</v>
      </c>
      <c r="C49" s="48" t="s">
        <v>107</v>
      </c>
      <c r="D49" s="180">
        <f>((J49*$H$1)/$M$2+(('Planalto Sul'!W7+'Litoral Sul'!W7+ViaCosteira!K7)*8))</f>
        <v>1292.4296388333332</v>
      </c>
      <c r="E49" s="343">
        <f>VLOOKUP(A49,'Planilha base'!$C$11:$K$35,6,FALSE)/'Planilha base'!$H$38</f>
        <v>13.350978135788262</v>
      </c>
      <c r="F49" s="284">
        <f>VLOOKUP(A49,'Planilha base'!$C$11:$K$35,4,FALSE)</f>
        <v>1.0971</v>
      </c>
      <c r="G49" s="352">
        <f t="shared" si="2"/>
        <v>18930.679755554091</v>
      </c>
      <c r="H49" s="346">
        <f>D49*E49</f>
        <v>17255.199850108551</v>
      </c>
      <c r="J49" s="128">
        <v>36.61</v>
      </c>
    </row>
    <row r="50" spans="1:10" ht="19.95" customHeight="1">
      <c r="A50" s="107"/>
      <c r="B50" s="45"/>
      <c r="C50" s="48"/>
      <c r="D50" s="29"/>
      <c r="E50" s="47"/>
      <c r="F50" s="255"/>
      <c r="G50" s="352"/>
      <c r="H50" s="346"/>
    </row>
    <row r="51" spans="1:10" ht="19.95" customHeight="1">
      <c r="A51" s="105">
        <v>2</v>
      </c>
      <c r="B51" s="35" t="s">
        <v>334</v>
      </c>
      <c r="C51" s="181"/>
      <c r="D51" s="40"/>
      <c r="E51" s="39"/>
      <c r="F51" s="295"/>
      <c r="G51" s="351"/>
      <c r="H51" s="345">
        <f>SUM(H52)</f>
        <v>19602.575930473038</v>
      </c>
    </row>
    <row r="52" spans="1:10" ht="19.8" customHeight="1">
      <c r="A52" s="32" t="s">
        <v>335</v>
      </c>
      <c r="B52" s="45" t="s">
        <v>334</v>
      </c>
      <c r="C52" s="47" t="s">
        <v>52</v>
      </c>
      <c r="D52" s="29">
        <f>H46+G46</f>
        <v>171651.27785002661</v>
      </c>
      <c r="E52" s="206">
        <f>'Planilha base'!$H$39</f>
        <v>0.1142</v>
      </c>
      <c r="F52" s="281"/>
      <c r="G52" s="352"/>
      <c r="H52" s="346">
        <f>D52*E52</f>
        <v>19602.575930473038</v>
      </c>
    </row>
    <row r="53" spans="1:10" ht="19.95" customHeight="1">
      <c r="A53" s="107"/>
      <c r="B53" s="45"/>
      <c r="C53" s="48"/>
      <c r="D53" s="29"/>
      <c r="E53" s="47"/>
      <c r="F53" s="255"/>
      <c r="G53" s="352"/>
      <c r="H53" s="346"/>
    </row>
    <row r="54" spans="1:10" ht="19.95" customHeight="1">
      <c r="A54" s="105">
        <v>3</v>
      </c>
      <c r="B54" s="30" t="s">
        <v>109</v>
      </c>
      <c r="C54" s="181"/>
      <c r="D54" s="40"/>
      <c r="E54" s="39"/>
      <c r="F54" s="295"/>
      <c r="G54" s="351"/>
      <c r="H54" s="345">
        <f>SUM(H55:H56)</f>
        <v>62253.129405552645</v>
      </c>
    </row>
    <row r="55" spans="1:10" s="116" customFormat="1" ht="19.95" customHeight="1">
      <c r="A55" s="32" t="s">
        <v>336</v>
      </c>
      <c r="B55" s="45" t="s">
        <v>67</v>
      </c>
      <c r="C55" s="47" t="s">
        <v>52</v>
      </c>
      <c r="D55" s="29">
        <f>H46+H51+G46</f>
        <v>191253.85378049966</v>
      </c>
      <c r="E55" s="206">
        <f>'Planilha base'!$H$40</f>
        <v>0.12</v>
      </c>
      <c r="F55" s="281"/>
      <c r="G55" s="352"/>
      <c r="H55" s="346">
        <f>D55*E55</f>
        <v>22950.462453659959</v>
      </c>
    </row>
    <row r="56" spans="1:10" s="116" customFormat="1" ht="19.95" customHeight="1">
      <c r="A56" s="32" t="s">
        <v>108</v>
      </c>
      <c r="B56" s="37" t="s">
        <v>68</v>
      </c>
      <c r="C56" s="47" t="s">
        <v>52</v>
      </c>
      <c r="D56" s="111">
        <f>H46+H51+G46</f>
        <v>191253.85378049966</v>
      </c>
      <c r="E56" s="206">
        <f>'Planilha base'!$H$41</f>
        <v>0.20550000000000002</v>
      </c>
      <c r="F56" s="281"/>
      <c r="G56" s="352"/>
      <c r="H56" s="346">
        <f>D56*E56</f>
        <v>39302.666951892686</v>
      </c>
    </row>
    <row r="57" spans="1:10" s="116" customFormat="1" ht="19.95" customHeight="1">
      <c r="A57" s="32"/>
      <c r="B57" s="37"/>
      <c r="C57" s="47"/>
      <c r="D57" s="111"/>
      <c r="E57" s="206"/>
      <c r="F57" s="281"/>
      <c r="G57" s="352"/>
      <c r="H57" s="345">
        <f>H54+H51+H46+G46</f>
        <v>253506.9831860523</v>
      </c>
    </row>
    <row r="58" spans="1:10" s="116" customFormat="1" ht="19.95" customHeight="1">
      <c r="A58" s="32"/>
      <c r="B58" s="37"/>
      <c r="C58" s="47"/>
      <c r="D58" s="111"/>
      <c r="E58" s="206"/>
      <c r="F58" s="281"/>
      <c r="G58" s="352"/>
      <c r="H58" s="346"/>
    </row>
    <row r="59" spans="1:10" s="116" customFormat="1" ht="19.95" customHeight="1">
      <c r="A59" s="117" t="s">
        <v>110</v>
      </c>
      <c r="B59" s="118" t="s">
        <v>19</v>
      </c>
      <c r="C59" s="119" t="s">
        <v>107</v>
      </c>
      <c r="D59" s="120">
        <f>SUM(D47:D49)</f>
        <v>2679.9555831666667</v>
      </c>
      <c r="E59" s="349">
        <f>'Custo Gerencial LOTE 02'!$I$66</f>
        <v>46.08</v>
      </c>
      <c r="F59" s="296"/>
      <c r="G59" s="355"/>
      <c r="H59" s="347">
        <f>D59*E59</f>
        <v>123492.35327231999</v>
      </c>
    </row>
    <row r="60" spans="1:10" s="116" customFormat="1" ht="19.95" customHeight="1">
      <c r="A60" s="32"/>
      <c r="B60" s="37"/>
      <c r="C60" s="47"/>
      <c r="D60" s="111"/>
      <c r="E60" s="344"/>
      <c r="F60" s="254"/>
      <c r="G60" s="356"/>
      <c r="H60" s="346"/>
    </row>
    <row r="61" spans="1:10" s="116" customFormat="1" ht="19.95" customHeight="1" thickBot="1">
      <c r="A61" s="121"/>
      <c r="B61" s="122" t="s">
        <v>111</v>
      </c>
      <c r="C61" s="123" t="s">
        <v>57</v>
      </c>
      <c r="D61" s="124">
        <v>1</v>
      </c>
      <c r="E61" s="350">
        <f>H45</f>
        <v>376999.3364583723</v>
      </c>
      <c r="F61" s="297"/>
      <c r="G61" s="357"/>
      <c r="H61" s="348">
        <f>E61*D61</f>
        <v>376999.3364583723</v>
      </c>
    </row>
    <row r="62" spans="1:10" ht="19.95" customHeight="1" thickBot="1">
      <c r="A62" s="126"/>
      <c r="B62" s="126"/>
      <c r="C62" s="126"/>
      <c r="D62" s="126"/>
      <c r="E62" s="126"/>
      <c r="F62" s="126"/>
      <c r="G62" s="126"/>
      <c r="H62" s="126"/>
    </row>
    <row r="63" spans="1:10" ht="19.5" customHeight="1">
      <c r="A63" s="144" t="s">
        <v>81</v>
      </c>
      <c r="B63" s="535" t="s">
        <v>82</v>
      </c>
      <c r="C63" s="535"/>
      <c r="D63" s="535"/>
      <c r="E63" s="535"/>
      <c r="F63" s="536"/>
      <c r="G63" s="536"/>
      <c r="H63" s="537"/>
    </row>
    <row r="64" spans="1:10" ht="19.95" customHeight="1">
      <c r="A64" s="102" t="s">
        <v>12</v>
      </c>
      <c r="B64" s="103" t="s">
        <v>14</v>
      </c>
      <c r="C64" s="103" t="s">
        <v>15</v>
      </c>
      <c r="D64" s="103" t="s">
        <v>16</v>
      </c>
      <c r="E64" s="103" t="s">
        <v>97</v>
      </c>
      <c r="F64" s="294" t="s">
        <v>255</v>
      </c>
      <c r="G64" s="294" t="s">
        <v>257</v>
      </c>
      <c r="H64" s="104" t="s">
        <v>98</v>
      </c>
    </row>
    <row r="65" spans="1:10" ht="19.95" customHeight="1">
      <c r="A65" s="105"/>
      <c r="B65" s="35" t="str">
        <f>B63</f>
        <v>Relatório de Apoio na Análise da Monitoração das Obras de Arte Especial</v>
      </c>
      <c r="C65" s="36"/>
      <c r="D65" s="106"/>
      <c r="E65" s="39"/>
      <c r="F65" s="295"/>
      <c r="G65" s="351"/>
      <c r="H65" s="345">
        <f>H79+H77</f>
        <v>422445.37091115775</v>
      </c>
    </row>
    <row r="66" spans="1:10" ht="19.95" customHeight="1">
      <c r="A66" s="105">
        <v>1</v>
      </c>
      <c r="B66" s="35" t="s">
        <v>106</v>
      </c>
      <c r="C66" s="36"/>
      <c r="D66" s="106"/>
      <c r="E66" s="39"/>
      <c r="F66" s="295"/>
      <c r="G66" s="351">
        <f>SUM(G67:G69)</f>
        <v>95739.03465681411</v>
      </c>
      <c r="H66" s="345">
        <f>SUM(H67:H69)</f>
        <v>104949.1159954988</v>
      </c>
    </row>
    <row r="67" spans="1:10" ht="19.95" customHeight="1">
      <c r="A67" s="32" t="s">
        <v>655</v>
      </c>
      <c r="B67" s="37" t="str">
        <f>CONCATENATE(VLOOKUP(A67,'Planilha base'!$C$11:$K$35,9,FALSE)," - Obra de Arte Especial")</f>
        <v>Engenheiro de projetos sênior - Obra de Arte Especial</v>
      </c>
      <c r="C67" s="36" t="s">
        <v>107</v>
      </c>
      <c r="D67" s="179">
        <f>(J67*$H$1)/$M$2</f>
        <v>154.52824950000002</v>
      </c>
      <c r="E67" s="343">
        <f>VLOOKUP(A67,'Planilha base'!$C$11:$K$35,6,FALSE)/'Planilha base'!$H$38</f>
        <v>76.099786289659704</v>
      </c>
      <c r="F67" s="284">
        <f>VLOOKUP(A67,'Planilha base'!$C$11:$K$35,4,FALSE)</f>
        <v>0.86</v>
      </c>
      <c r="G67" s="352">
        <f t="shared" ref="G67:G69" si="3">D67*E67*F67</f>
        <v>10113.227415892085</v>
      </c>
      <c r="H67" s="346">
        <f>D67*E67</f>
        <v>11759.566762665216</v>
      </c>
      <c r="J67" s="128">
        <v>59.49</v>
      </c>
    </row>
    <row r="68" spans="1:10" ht="19.95" customHeight="1">
      <c r="A68" s="32" t="s">
        <v>653</v>
      </c>
      <c r="B68" s="37" t="str">
        <f>VLOOKUP(A68,'Planilha base'!$C$11:$K$35,9,FALSE)</f>
        <v>Engenheiro de projetos pleno</v>
      </c>
      <c r="C68" s="36" t="s">
        <v>107</v>
      </c>
      <c r="D68" s="179">
        <f>((J68*$H$1)/$M$2+(('Planalto Sul'!W8+'Litoral Sul'!W8+ViaCosteira!K8)*8))</f>
        <v>1324.5441666666668</v>
      </c>
      <c r="E68" s="343">
        <f>VLOOKUP(A68,'Planilha base'!$C$11:$K$35,6,FALSE)/'Planilha base'!$H$38</f>
        <v>57.69094196942298</v>
      </c>
      <c r="F68" s="284">
        <f>VLOOKUP(A68,'Planilha base'!$C$11:$K$35,4,FALSE)</f>
        <v>0.87970000000000004</v>
      </c>
      <c r="G68" s="352">
        <f t="shared" si="3"/>
        <v>67221.572316295336</v>
      </c>
      <c r="H68" s="346">
        <f>D68*E68</f>
        <v>76414.200655104389</v>
      </c>
      <c r="J68" s="128">
        <v>50</v>
      </c>
    </row>
    <row r="69" spans="1:10" ht="19.95" customHeight="1">
      <c r="A69" s="32" t="s">
        <v>719</v>
      </c>
      <c r="B69" s="37" t="str">
        <f>VLOOKUP(A69,'Planilha base'!$C$11:$K$35,9,FALSE)</f>
        <v>Técnico de obras</v>
      </c>
      <c r="C69" s="36" t="s">
        <v>107</v>
      </c>
      <c r="D69" s="179">
        <f>((J69*$H$1)/$M$2+(('Planalto Sul'!W8+'Litoral Sul'!W8+ViaCosteira!K8)*8))</f>
        <v>1256.4883566666667</v>
      </c>
      <c r="E69" s="343">
        <f>VLOOKUP(A69,'Planilha base'!$C$11:$K$35,6,FALSE)/'Planilha base'!$H$38</f>
        <v>13.350978135788262</v>
      </c>
      <c r="F69" s="284">
        <f>VLOOKUP(A69,'Planilha base'!$C$11:$K$35,4,FALSE)</f>
        <v>1.0971</v>
      </c>
      <c r="G69" s="352">
        <f t="shared" si="3"/>
        <v>18404.234924626693</v>
      </c>
      <c r="H69" s="346">
        <f>D69*E69</f>
        <v>16775.34857772919</v>
      </c>
      <c r="J69" s="128">
        <v>23.8</v>
      </c>
    </row>
    <row r="70" spans="1:10" ht="19.95" customHeight="1">
      <c r="A70" s="107"/>
      <c r="B70" s="37"/>
      <c r="C70" s="36"/>
      <c r="D70" s="111"/>
      <c r="E70" s="47"/>
      <c r="F70" s="255"/>
      <c r="G70" s="352"/>
      <c r="H70" s="346"/>
    </row>
    <row r="71" spans="1:10" ht="19.95" customHeight="1">
      <c r="A71" s="105">
        <v>2</v>
      </c>
      <c r="B71" s="35" t="s">
        <v>334</v>
      </c>
      <c r="C71" s="113"/>
      <c r="D71" s="106"/>
      <c r="E71" s="39"/>
      <c r="F71" s="295"/>
      <c r="G71" s="351"/>
      <c r="H71" s="345">
        <f>SUM(H72)</f>
        <v>22918.586804494134</v>
      </c>
    </row>
    <row r="72" spans="1:10" s="116" customFormat="1" ht="19.95" customHeight="1">
      <c r="A72" s="32" t="s">
        <v>335</v>
      </c>
      <c r="B72" s="45" t="s">
        <v>334</v>
      </c>
      <c r="C72" s="47" t="s">
        <v>52</v>
      </c>
      <c r="D72" s="111">
        <f>H66+G66</f>
        <v>200688.15065231291</v>
      </c>
      <c r="E72" s="206">
        <f>'Planilha base'!$H$39</f>
        <v>0.1142</v>
      </c>
      <c r="F72" s="281"/>
      <c r="G72" s="352"/>
      <c r="H72" s="346">
        <f>D72*E72</f>
        <v>22918.586804494134</v>
      </c>
    </row>
    <row r="73" spans="1:10" s="116" customFormat="1" ht="19.95" customHeight="1">
      <c r="A73" s="32"/>
      <c r="B73" s="37"/>
      <c r="C73" s="47"/>
      <c r="D73" s="111"/>
      <c r="E73" s="206"/>
      <c r="F73" s="281"/>
      <c r="G73" s="352"/>
      <c r="H73" s="346"/>
    </row>
    <row r="74" spans="1:10" ht="19.95" customHeight="1">
      <c r="A74" s="105">
        <v>3</v>
      </c>
      <c r="B74" s="35" t="s">
        <v>109</v>
      </c>
      <c r="C74" s="113"/>
      <c r="D74" s="106"/>
      <c r="E74" s="39"/>
      <c r="F74" s="295"/>
      <c r="G74" s="351"/>
      <c r="H74" s="345">
        <f>SUM(H75:H76)</f>
        <v>72783.99304219069</v>
      </c>
    </row>
    <row r="75" spans="1:10" s="116" customFormat="1" ht="19.95" customHeight="1">
      <c r="A75" s="32" t="s">
        <v>336</v>
      </c>
      <c r="B75" s="37" t="s">
        <v>67</v>
      </c>
      <c r="C75" s="47" t="s">
        <v>52</v>
      </c>
      <c r="D75" s="111">
        <f>H66+H71+G66</f>
        <v>223606.73745680705</v>
      </c>
      <c r="E75" s="206">
        <f>'Planilha base'!$H$40</f>
        <v>0.12</v>
      </c>
      <c r="F75" s="281"/>
      <c r="G75" s="352"/>
      <c r="H75" s="346">
        <f>D75*E75</f>
        <v>26832.808494816843</v>
      </c>
    </row>
    <row r="76" spans="1:10" s="116" customFormat="1" ht="19.95" customHeight="1">
      <c r="A76" s="32" t="s">
        <v>108</v>
      </c>
      <c r="B76" s="37" t="s">
        <v>68</v>
      </c>
      <c r="C76" s="47" t="s">
        <v>52</v>
      </c>
      <c r="D76" s="111">
        <f>H66+H71+G66</f>
        <v>223606.73745680705</v>
      </c>
      <c r="E76" s="206">
        <f>'Planilha base'!$H$41</f>
        <v>0.20550000000000002</v>
      </c>
      <c r="F76" s="281"/>
      <c r="G76" s="352"/>
      <c r="H76" s="346">
        <f>D76*E76</f>
        <v>45951.18454737385</v>
      </c>
    </row>
    <row r="77" spans="1:10" s="116" customFormat="1" ht="19.95" customHeight="1">
      <c r="A77" s="32"/>
      <c r="B77" s="37"/>
      <c r="C77" s="47"/>
      <c r="D77" s="111"/>
      <c r="E77" s="115"/>
      <c r="F77" s="254"/>
      <c r="G77" s="356"/>
      <c r="H77" s="345">
        <f>H74+H71+H66+G66</f>
        <v>296390.73049899773</v>
      </c>
    </row>
    <row r="78" spans="1:10" s="116" customFormat="1" ht="19.95" customHeight="1">
      <c r="A78" s="32"/>
      <c r="B78" s="37"/>
      <c r="C78" s="47"/>
      <c r="D78" s="111"/>
      <c r="E78" s="115"/>
      <c r="F78" s="254"/>
      <c r="G78" s="356"/>
      <c r="H78" s="346"/>
    </row>
    <row r="79" spans="1:10" s="116" customFormat="1" ht="19.95" customHeight="1">
      <c r="A79" s="117" t="s">
        <v>110</v>
      </c>
      <c r="B79" s="118" t="s">
        <v>19</v>
      </c>
      <c r="C79" s="119" t="s">
        <v>107</v>
      </c>
      <c r="D79" s="120">
        <f>SUM(D67:D69)</f>
        <v>2735.5607728333334</v>
      </c>
      <c r="E79" s="349">
        <f>'Custo Gerencial LOTE 02'!$I$66</f>
        <v>46.08</v>
      </c>
      <c r="F79" s="296"/>
      <c r="G79" s="355"/>
      <c r="H79" s="347">
        <f>D79*E79</f>
        <v>126054.64041216001</v>
      </c>
    </row>
    <row r="80" spans="1:10" s="116" customFormat="1" ht="19.95" customHeight="1">
      <c r="A80" s="32"/>
      <c r="B80" s="37"/>
      <c r="C80" s="47"/>
      <c r="D80" s="111"/>
      <c r="E80" s="344"/>
      <c r="F80" s="254"/>
      <c r="G80" s="356"/>
      <c r="H80" s="346"/>
    </row>
    <row r="81" spans="1:10" s="116" customFormat="1" ht="19.95" customHeight="1" thickBot="1">
      <c r="A81" s="121"/>
      <c r="B81" s="122" t="s">
        <v>111</v>
      </c>
      <c r="C81" s="123" t="s">
        <v>57</v>
      </c>
      <c r="D81" s="124">
        <v>1</v>
      </c>
      <c r="E81" s="350">
        <f>H65</f>
        <v>422445.37091115775</v>
      </c>
      <c r="F81" s="297"/>
      <c r="G81" s="357"/>
      <c r="H81" s="348">
        <f>E81*D81</f>
        <v>422445.37091115775</v>
      </c>
    </row>
    <row r="82" spans="1:10" ht="19.95" customHeight="1" thickBot="1">
      <c r="A82" s="126"/>
      <c r="B82" s="126"/>
      <c r="C82" s="126"/>
      <c r="D82" s="126"/>
      <c r="E82" s="126"/>
      <c r="F82" s="126"/>
      <c r="G82" s="126"/>
      <c r="H82" s="126"/>
    </row>
    <row r="83" spans="1:10" ht="19.95" customHeight="1">
      <c r="A83" s="144" t="s">
        <v>83</v>
      </c>
      <c r="B83" s="535" t="s">
        <v>84</v>
      </c>
      <c r="C83" s="535"/>
      <c r="D83" s="535"/>
      <c r="E83" s="535"/>
      <c r="F83" s="536"/>
      <c r="G83" s="536"/>
      <c r="H83" s="537"/>
    </row>
    <row r="84" spans="1:10" ht="19.95" customHeight="1">
      <c r="A84" s="102" t="s">
        <v>12</v>
      </c>
      <c r="B84" s="103" t="s">
        <v>14</v>
      </c>
      <c r="C84" s="103" t="s">
        <v>15</v>
      </c>
      <c r="D84" s="103" t="s">
        <v>16</v>
      </c>
      <c r="E84" s="103" t="s">
        <v>97</v>
      </c>
      <c r="F84" s="294" t="s">
        <v>255</v>
      </c>
      <c r="G84" s="294" t="s">
        <v>257</v>
      </c>
      <c r="H84" s="104" t="s">
        <v>98</v>
      </c>
    </row>
    <row r="85" spans="1:10" ht="19.95" customHeight="1">
      <c r="A85" s="105"/>
      <c r="B85" s="35" t="str">
        <f>B83</f>
        <v>Relatório de Apoio na Análise da Monitoração dos Terraplenos e Estruturas de Contenção</v>
      </c>
      <c r="C85" s="36"/>
      <c r="D85" s="106"/>
      <c r="E85" s="39"/>
      <c r="F85" s="295"/>
      <c r="G85" s="351"/>
      <c r="H85" s="345">
        <f>H97+H99</f>
        <v>352351.11124999885</v>
      </c>
    </row>
    <row r="86" spans="1:10" ht="19.95" customHeight="1">
      <c r="A86" s="105">
        <v>1</v>
      </c>
      <c r="B86" s="35" t="s">
        <v>106</v>
      </c>
      <c r="C86" s="36"/>
      <c r="D86" s="106"/>
      <c r="E86" s="39"/>
      <c r="F86" s="295"/>
      <c r="G86" s="351">
        <f>SUM(G87:G89)</f>
        <v>80248.169563766525</v>
      </c>
      <c r="H86" s="345">
        <f>SUM(H87:H89)</f>
        <v>88184.509407471996</v>
      </c>
    </row>
    <row r="87" spans="1:10" ht="19.95" customHeight="1">
      <c r="A87" s="32" t="s">
        <v>655</v>
      </c>
      <c r="B87" s="37" t="str">
        <f>CONCATENATE(VLOOKUP(A87,'Planilha base'!$C$11:$K$35,9,FALSE)," - Infraestrutura ou Obra de Arte Especial")</f>
        <v>Engenheiro de projetos sênior - Infraestrutura ou Obra de Arte Especial</v>
      </c>
      <c r="C87" s="36" t="s">
        <v>107</v>
      </c>
      <c r="D87" s="179">
        <f>(J87*$H$1)/$M$2</f>
        <v>154.52824950000002</v>
      </c>
      <c r="E87" s="343">
        <f>VLOOKUP(A87,'Planilha base'!$C$11:$K$35,6,FALSE)/'Planilha base'!$H$38</f>
        <v>76.099786289659704</v>
      </c>
      <c r="F87" s="284">
        <f>VLOOKUP(A87,'Planilha base'!$C$11:$K$35,4,FALSE)</f>
        <v>0.86</v>
      </c>
      <c r="G87" s="352">
        <f t="shared" ref="G87:G89" si="4">D87*E87*F87</f>
        <v>10113.227415892085</v>
      </c>
      <c r="H87" s="346">
        <f>D87*E87</f>
        <v>11759.566762665216</v>
      </c>
      <c r="J87" s="128">
        <v>59.49</v>
      </c>
    </row>
    <row r="88" spans="1:10" ht="19.95" customHeight="1">
      <c r="A88" s="32" t="s">
        <v>653</v>
      </c>
      <c r="B88" s="37" t="str">
        <f>VLOOKUP(A88,'Planilha base'!$C$11:$K$35,9,FALSE)</f>
        <v>Engenheiro de projetos pleno</v>
      </c>
      <c r="C88" s="36" t="s">
        <v>107</v>
      </c>
      <c r="D88" s="179">
        <f>((J88*$H$1)/$M$2+(('Planalto Sul'!W9+'Litoral Sul'!W9+ViaCosteira!K9)*8))</f>
        <v>1093.1949161666666</v>
      </c>
      <c r="E88" s="343">
        <f>VLOOKUP(A88,'Planilha base'!$C$11:$K$35,6,FALSE)/'Planilha base'!$H$38</f>
        <v>57.69094196942298</v>
      </c>
      <c r="F88" s="284">
        <f>VLOOKUP(A88,'Planilha base'!$C$11:$K$35,4,FALSE)</f>
        <v>0.87970000000000004</v>
      </c>
      <c r="G88" s="352">
        <f t="shared" si="4"/>
        <v>55480.43090011771</v>
      </c>
      <c r="H88" s="346">
        <f>D88*E88</f>
        <v>63067.444469839385</v>
      </c>
      <c r="J88" s="128">
        <v>59.49</v>
      </c>
    </row>
    <row r="89" spans="1:10" ht="19.95" customHeight="1">
      <c r="A89" s="32" t="s">
        <v>719</v>
      </c>
      <c r="B89" s="37" t="str">
        <f>VLOOKUP(A89,'Planilha base'!$C$11:$K$35,9,FALSE)</f>
        <v>Técnico de obras</v>
      </c>
      <c r="C89" s="36" t="s">
        <v>107</v>
      </c>
      <c r="D89" s="179">
        <f>((J89*$H$1)/$M$2+(('Planalto Sul'!W9+'Litoral Sul'!W9+ViaCosteira!K9)*8))</f>
        <v>1000.4883566666667</v>
      </c>
      <c r="E89" s="343">
        <f>VLOOKUP(A89,'Planilha base'!$C$11:$K$35,6,FALSE)/'Planilha base'!$H$38</f>
        <v>13.350978135788262</v>
      </c>
      <c r="F89" s="284">
        <f>VLOOKUP(A89,'Planilha base'!$C$11:$K$35,4,FALSE)</f>
        <v>1.0971</v>
      </c>
      <c r="G89" s="352">
        <f t="shared" si="4"/>
        <v>14654.511247756729</v>
      </c>
      <c r="H89" s="346">
        <f>D89*E89</f>
        <v>13357.498174967395</v>
      </c>
      <c r="J89" s="128">
        <v>23.8</v>
      </c>
    </row>
    <row r="90" spans="1:10" ht="19.95" customHeight="1">
      <c r="A90" s="107"/>
      <c r="B90" s="37"/>
      <c r="C90" s="36"/>
      <c r="D90" s="111"/>
      <c r="E90" s="47"/>
      <c r="F90" s="255"/>
      <c r="G90" s="352"/>
      <c r="H90" s="346"/>
    </row>
    <row r="91" spans="1:10" ht="19.95" customHeight="1">
      <c r="A91" s="105">
        <v>2</v>
      </c>
      <c r="B91" s="35" t="s">
        <v>334</v>
      </c>
      <c r="C91" s="113"/>
      <c r="D91" s="106"/>
      <c r="E91" s="39"/>
      <c r="F91" s="295"/>
      <c r="G91" s="351"/>
      <c r="H91" s="345">
        <f>SUM(H92)</f>
        <v>19235.011938515439</v>
      </c>
    </row>
    <row r="92" spans="1:10" s="116" customFormat="1" ht="19.95" customHeight="1">
      <c r="A92" s="32" t="s">
        <v>335</v>
      </c>
      <c r="B92" s="45" t="s">
        <v>334</v>
      </c>
      <c r="C92" s="47" t="s">
        <v>52</v>
      </c>
      <c r="D92" s="111">
        <f>H86+G86</f>
        <v>168432.67897123852</v>
      </c>
      <c r="E92" s="206">
        <f>'Planilha base'!$H$39</f>
        <v>0.1142</v>
      </c>
      <c r="F92" s="281"/>
      <c r="G92" s="352"/>
      <c r="H92" s="346">
        <f>D92*E92</f>
        <v>19235.011938515439</v>
      </c>
    </row>
    <row r="93" spans="1:10" s="116" customFormat="1" ht="19.95" customHeight="1">
      <c r="A93" s="32"/>
      <c r="B93" s="37"/>
      <c r="C93" s="47"/>
      <c r="D93" s="111"/>
      <c r="E93" s="206"/>
      <c r="F93" s="281"/>
      <c r="G93" s="352"/>
      <c r="H93" s="346"/>
    </row>
    <row r="94" spans="1:10" ht="19.95" customHeight="1">
      <c r="A94" s="105">
        <v>3</v>
      </c>
      <c r="B94" s="35" t="s">
        <v>109</v>
      </c>
      <c r="C94" s="113"/>
      <c r="D94" s="106"/>
      <c r="E94" s="39"/>
      <c r="F94" s="295"/>
      <c r="G94" s="351"/>
      <c r="H94" s="345">
        <f>SUM(H95:H96)</f>
        <v>61085.833391124914</v>
      </c>
    </row>
    <row r="95" spans="1:10" s="116" customFormat="1" ht="19.95" customHeight="1">
      <c r="A95" s="32" t="s">
        <v>336</v>
      </c>
      <c r="B95" s="37" t="s">
        <v>67</v>
      </c>
      <c r="C95" s="47" t="s">
        <v>52</v>
      </c>
      <c r="D95" s="111">
        <f>H86+H91+G86</f>
        <v>187667.69090975396</v>
      </c>
      <c r="E95" s="206">
        <f>'Planilha base'!$H$40</f>
        <v>0.12</v>
      </c>
      <c r="F95" s="281"/>
      <c r="G95" s="352"/>
      <c r="H95" s="346">
        <f>D95*E95</f>
        <v>22520.122909170474</v>
      </c>
    </row>
    <row r="96" spans="1:10" s="116" customFormat="1" ht="19.95" customHeight="1">
      <c r="A96" s="32" t="s">
        <v>108</v>
      </c>
      <c r="B96" s="37" t="s">
        <v>68</v>
      </c>
      <c r="C96" s="47" t="s">
        <v>52</v>
      </c>
      <c r="D96" s="111">
        <f>H86+H91+G86</f>
        <v>187667.69090975396</v>
      </c>
      <c r="E96" s="206">
        <f>'Planilha base'!$H$41</f>
        <v>0.20550000000000002</v>
      </c>
      <c r="F96" s="281"/>
      <c r="G96" s="352"/>
      <c r="H96" s="346">
        <f>D96*E96</f>
        <v>38565.71048195444</v>
      </c>
    </row>
    <row r="97" spans="1:10" s="116" customFormat="1" ht="19.95" customHeight="1">
      <c r="A97" s="32"/>
      <c r="B97" s="37"/>
      <c r="C97" s="47"/>
      <c r="D97" s="111"/>
      <c r="E97" s="206"/>
      <c r="F97" s="281"/>
      <c r="G97" s="352"/>
      <c r="H97" s="345">
        <f>H94+H91+H86+G86</f>
        <v>248753.52430087887</v>
      </c>
    </row>
    <row r="98" spans="1:10" s="116" customFormat="1" ht="19.95" customHeight="1">
      <c r="A98" s="32"/>
      <c r="B98" s="37"/>
      <c r="C98" s="47"/>
      <c r="D98" s="111"/>
      <c r="E98" s="206"/>
      <c r="F98" s="281"/>
      <c r="G98" s="352"/>
      <c r="H98" s="346"/>
    </row>
    <row r="99" spans="1:10" s="116" customFormat="1" ht="19.95" customHeight="1">
      <c r="A99" s="117" t="s">
        <v>110</v>
      </c>
      <c r="B99" s="118" t="s">
        <v>19</v>
      </c>
      <c r="C99" s="119" t="s">
        <v>107</v>
      </c>
      <c r="D99" s="120">
        <f>SUM(D87:D89)</f>
        <v>2248.2115223333335</v>
      </c>
      <c r="E99" s="349">
        <f>'Custo Gerencial LOTE 02'!$I$66</f>
        <v>46.08</v>
      </c>
      <c r="F99" s="296"/>
      <c r="G99" s="355"/>
      <c r="H99" s="347">
        <f>D99*E99</f>
        <v>103597.58694912</v>
      </c>
    </row>
    <row r="100" spans="1:10" s="116" customFormat="1" ht="19.95" customHeight="1">
      <c r="A100" s="32"/>
      <c r="B100" s="37"/>
      <c r="C100" s="47"/>
      <c r="D100" s="111"/>
      <c r="E100" s="344"/>
      <c r="F100" s="254"/>
      <c r="G100" s="356"/>
      <c r="H100" s="346"/>
    </row>
    <row r="101" spans="1:10" s="116" customFormat="1" ht="19.95" customHeight="1" thickBot="1">
      <c r="A101" s="121"/>
      <c r="B101" s="122" t="s">
        <v>111</v>
      </c>
      <c r="C101" s="123" t="s">
        <v>57</v>
      </c>
      <c r="D101" s="124">
        <v>1</v>
      </c>
      <c r="E101" s="350">
        <f>H85</f>
        <v>352351.11124999885</v>
      </c>
      <c r="F101" s="297"/>
      <c r="G101" s="357"/>
      <c r="H101" s="348">
        <f>E101*D101</f>
        <v>352351.11124999885</v>
      </c>
    </row>
    <row r="102" spans="1:10" ht="19.95" customHeight="1" thickBot="1">
      <c r="A102" s="126"/>
      <c r="B102" s="126"/>
      <c r="C102" s="126"/>
      <c r="D102" s="126"/>
      <c r="E102" s="126"/>
      <c r="F102" s="126"/>
      <c r="G102" s="126"/>
      <c r="H102" s="126"/>
    </row>
    <row r="103" spans="1:10" ht="19.95" customHeight="1">
      <c r="A103" s="144" t="s">
        <v>85</v>
      </c>
      <c r="B103" s="535" t="s">
        <v>86</v>
      </c>
      <c r="C103" s="535"/>
      <c r="D103" s="535"/>
      <c r="E103" s="535"/>
      <c r="F103" s="536"/>
      <c r="G103" s="536"/>
      <c r="H103" s="537"/>
    </row>
    <row r="104" spans="1:10" ht="19.95" customHeight="1">
      <c r="A104" s="102" t="s">
        <v>12</v>
      </c>
      <c r="B104" s="103" t="s">
        <v>14</v>
      </c>
      <c r="C104" s="103" t="s">
        <v>15</v>
      </c>
      <c r="D104" s="103" t="s">
        <v>16</v>
      </c>
      <c r="E104" s="103" t="s">
        <v>97</v>
      </c>
      <c r="F104" s="294" t="s">
        <v>255</v>
      </c>
      <c r="G104" s="294" t="s">
        <v>257</v>
      </c>
      <c r="H104" s="104" t="s">
        <v>98</v>
      </c>
    </row>
    <row r="105" spans="1:10" ht="19.95" customHeight="1">
      <c r="A105" s="105"/>
      <c r="B105" s="35" t="str">
        <f>B103</f>
        <v>Relatório de Apoio no Acompanhamento da Conservação, Manutenção, Operação e Obras</v>
      </c>
      <c r="C105" s="36"/>
      <c r="D105" s="106"/>
      <c r="E105" s="39"/>
      <c r="F105" s="295"/>
      <c r="G105" s="351"/>
      <c r="H105" s="345">
        <f>H122+H124</f>
        <v>408650.74738822959</v>
      </c>
      <c r="J105" s="133"/>
    </row>
    <row r="106" spans="1:10" ht="19.95" customHeight="1">
      <c r="A106" s="105">
        <v>1</v>
      </c>
      <c r="B106" s="35" t="s">
        <v>106</v>
      </c>
      <c r="C106" s="36"/>
      <c r="D106" s="106"/>
      <c r="E106" s="39"/>
      <c r="F106" s="295"/>
      <c r="G106" s="351">
        <f>SUM(G107:G110,G112:G114)</f>
        <v>93760.187298000004</v>
      </c>
      <c r="H106" s="351">
        <f>SUM(H107:H110,H112:H114)</f>
        <v>103225.59</v>
      </c>
    </row>
    <row r="107" spans="1:10" ht="19.95" customHeight="1">
      <c r="A107" s="32" t="s">
        <v>655</v>
      </c>
      <c r="B107" s="37" t="str">
        <f>VLOOKUP(A107,'Planilha base'!$C$11:$K$35,9,FALSE)</f>
        <v>Engenheiro de projetos sênior</v>
      </c>
      <c r="C107" s="36" t="s">
        <v>107</v>
      </c>
      <c r="D107" s="409">
        <f>J107</f>
        <v>182.49</v>
      </c>
      <c r="E107" s="343">
        <f>VLOOKUP(A107,'Planilha base'!$C$11:$K$35,6,FALSE)/'Planilha base'!$H$38</f>
        <v>76.099786289659704</v>
      </c>
      <c r="F107" s="284">
        <f>VLOOKUP(A107,'Planilha base'!$C$11:$K$35,4,FALSE)</f>
        <v>0.86</v>
      </c>
      <c r="G107" s="352">
        <f t="shared" ref="G107:G110" si="5">D107*E107*F107</f>
        <v>11943.207</v>
      </c>
      <c r="H107" s="346">
        <f>D107*E107</f>
        <v>13887.45</v>
      </c>
      <c r="J107" s="128">
        <f>'Planilha base'!$H$38</f>
        <v>182.49</v>
      </c>
    </row>
    <row r="108" spans="1:10" ht="19.95" customHeight="1">
      <c r="A108" s="32" t="s">
        <v>653</v>
      </c>
      <c r="B108" s="37" t="str">
        <f>VLOOKUP(A108,'Planilha base'!$C$11:$K$35,9,FALSE)</f>
        <v>Engenheiro de projetos pleno</v>
      </c>
      <c r="C108" s="36" t="s">
        <v>107</v>
      </c>
      <c r="D108" s="179">
        <f>J108</f>
        <v>182.49</v>
      </c>
      <c r="E108" s="343">
        <f>VLOOKUP(A108,'Planilha base'!$C$11:$K$35,6,FALSE)/'Planilha base'!$H$38</f>
        <v>57.69094196942298</v>
      </c>
      <c r="F108" s="284">
        <f>VLOOKUP(A108,'Planilha base'!$C$11:$K$35,4,FALSE)</f>
        <v>0.87970000000000004</v>
      </c>
      <c r="G108" s="352">
        <f t="shared" si="5"/>
        <v>9261.499194</v>
      </c>
      <c r="H108" s="346">
        <f>D108*E108</f>
        <v>10528.02</v>
      </c>
      <c r="J108" s="128">
        <f>'Planilha base'!$H$38</f>
        <v>182.49</v>
      </c>
    </row>
    <row r="109" spans="1:10" ht="19.95" customHeight="1">
      <c r="A109" s="32" t="s">
        <v>651</v>
      </c>
      <c r="B109" s="37" t="str">
        <f>VLOOKUP(A109,'Planilha base'!$C$11:$K$35,9,FALSE)</f>
        <v>Engenheiro de projetos júnior</v>
      </c>
      <c r="C109" s="36" t="s">
        <v>107</v>
      </c>
      <c r="D109" s="179">
        <f>J109</f>
        <v>912.45</v>
      </c>
      <c r="E109" s="343">
        <f>VLOOKUP(A109,'Planilha base'!$C$11:$K$35,6,FALSE)/'Planilha base'!$H$38</f>
        <v>51.235684147076547</v>
      </c>
      <c r="F109" s="284">
        <f>VLOOKUP(A109,'Planilha base'!$C$11:$K$35,4,FALSE)</f>
        <v>0.89</v>
      </c>
      <c r="G109" s="352">
        <f t="shared" si="5"/>
        <v>41607.5</v>
      </c>
      <c r="H109" s="346">
        <f>D109*E109</f>
        <v>46750</v>
      </c>
      <c r="J109" s="128">
        <f>'Planilha base'!$H$38*5</f>
        <v>912.45</v>
      </c>
    </row>
    <row r="110" spans="1:10" ht="19.95" customHeight="1">
      <c r="A110" s="32" t="s">
        <v>719</v>
      </c>
      <c r="B110" s="37" t="str">
        <f>VLOOKUP(A110,'Planilha base'!$C$11:$K$35,9,FALSE)</f>
        <v>Técnico de obras</v>
      </c>
      <c r="C110" s="36" t="s">
        <v>107</v>
      </c>
      <c r="D110" s="179">
        <f>J110</f>
        <v>729.96</v>
      </c>
      <c r="E110" s="343">
        <f>VLOOKUP(A110,'Planilha base'!$C$11:$K$35,6,FALSE)/'Planilha base'!$H$38</f>
        <v>13.350978135788262</v>
      </c>
      <c r="F110" s="284">
        <f>VLOOKUP(A110,'Planilha base'!$C$11:$K$35,4,FALSE)</f>
        <v>1.0971</v>
      </c>
      <c r="G110" s="352">
        <f t="shared" si="5"/>
        <v>10691.985527999999</v>
      </c>
      <c r="H110" s="346">
        <f>D110*E110</f>
        <v>9745.68</v>
      </c>
      <c r="J110" s="128">
        <f>'Planilha base'!$H$38*4</f>
        <v>729.96</v>
      </c>
    </row>
    <row r="111" spans="1:10" s="65" customFormat="1" ht="19.95" customHeight="1">
      <c r="A111" s="32"/>
      <c r="B111" s="25" t="s">
        <v>474</v>
      </c>
      <c r="C111" s="304"/>
      <c r="D111" s="409"/>
      <c r="E111" s="318"/>
      <c r="F111" s="410"/>
      <c r="G111" s="411"/>
      <c r="H111" s="412"/>
      <c r="J111" s="73"/>
    </row>
    <row r="112" spans="1:10" s="65" customFormat="1" ht="19.95" customHeight="1">
      <c r="A112" s="32" t="s">
        <v>653</v>
      </c>
      <c r="B112" s="37" t="str">
        <f>VLOOKUP(A112,'Planilha base'!$C$11:$K$35,9,FALSE)</f>
        <v>Engenheiro de projetos pleno</v>
      </c>
      <c r="C112" s="304" t="s">
        <v>107</v>
      </c>
      <c r="D112" s="409">
        <f>J112</f>
        <v>182.49</v>
      </c>
      <c r="E112" s="343">
        <f>VLOOKUP(A112,'Planilha base'!$C$11:$K$35,6,FALSE)/'Planilha base'!$H$38</f>
        <v>57.69094196942298</v>
      </c>
      <c r="F112" s="284">
        <f>VLOOKUP(A112,'Planilha base'!$C$11:$K$35,4,FALSE)</f>
        <v>0.87970000000000004</v>
      </c>
      <c r="G112" s="410">
        <f t="shared" ref="G112:G114" si="6">D112*E112*F112</f>
        <v>9261.499194</v>
      </c>
      <c r="H112" s="34">
        <f>D112*E112</f>
        <v>10528.02</v>
      </c>
      <c r="J112" s="73">
        <f>'Planilha base'!$H$38</f>
        <v>182.49</v>
      </c>
    </row>
    <row r="113" spans="1:10" s="65" customFormat="1" ht="19.95" customHeight="1">
      <c r="A113" s="32" t="s">
        <v>651</v>
      </c>
      <c r="B113" s="37" t="str">
        <f>VLOOKUP(A113,'Planilha base'!$C$11:$K$35,9,FALSE)</f>
        <v>Engenheiro de projetos júnior</v>
      </c>
      <c r="C113" s="304" t="s">
        <v>107</v>
      </c>
      <c r="D113" s="409">
        <f t="shared" ref="D113:D114" si="7">J113</f>
        <v>182.49</v>
      </c>
      <c r="E113" s="343">
        <f>VLOOKUP(A113,'Planilha base'!$C$11:$K$35,6,FALSE)/'Planilha base'!$H$38</f>
        <v>51.235684147076547</v>
      </c>
      <c r="F113" s="284">
        <f>VLOOKUP(A113,'Planilha base'!$C$11:$K$35,4,FALSE)</f>
        <v>0.89</v>
      </c>
      <c r="G113" s="410">
        <f t="shared" si="6"/>
        <v>8321.5</v>
      </c>
      <c r="H113" s="34">
        <f t="shared" ref="H113:H114" si="8">D113*E113</f>
        <v>9350</v>
      </c>
      <c r="J113" s="73">
        <f>'Planilha base'!$H$38</f>
        <v>182.49</v>
      </c>
    </row>
    <row r="114" spans="1:10" s="65" customFormat="1" ht="19.95" customHeight="1">
      <c r="A114" s="32" t="s">
        <v>719</v>
      </c>
      <c r="B114" s="37" t="str">
        <f>VLOOKUP(A114,'Planilha base'!$C$11:$K$35,9,FALSE)</f>
        <v>Técnico de obras</v>
      </c>
      <c r="C114" s="304" t="s">
        <v>107</v>
      </c>
      <c r="D114" s="409">
        <f t="shared" si="7"/>
        <v>182.49</v>
      </c>
      <c r="E114" s="343">
        <f>VLOOKUP(A114,'Planilha base'!$C$11:$K$35,6,FALSE)/'Planilha base'!$H$38</f>
        <v>13.350978135788262</v>
      </c>
      <c r="F114" s="284">
        <f>VLOOKUP(A114,'Planilha base'!$C$11:$K$35,4,FALSE)</f>
        <v>1.0971</v>
      </c>
      <c r="G114" s="410">
        <f t="shared" si="6"/>
        <v>2672.9963819999998</v>
      </c>
      <c r="H114" s="34">
        <f t="shared" si="8"/>
        <v>2436.42</v>
      </c>
      <c r="J114" s="73">
        <f>'Planilha base'!$H$38</f>
        <v>182.49</v>
      </c>
    </row>
    <row r="115" spans="1:10" ht="19.95" customHeight="1">
      <c r="A115" s="107"/>
      <c r="B115" s="37"/>
      <c r="C115" s="36"/>
      <c r="D115" s="111"/>
      <c r="E115" s="47"/>
      <c r="F115" s="255"/>
      <c r="G115" s="352"/>
      <c r="H115" s="346"/>
    </row>
    <row r="116" spans="1:10" ht="19.95" customHeight="1">
      <c r="A116" s="105">
        <v>2</v>
      </c>
      <c r="B116" s="35" t="s">
        <v>334</v>
      </c>
      <c r="C116" s="113"/>
      <c r="D116" s="106"/>
      <c r="E116" s="39"/>
      <c r="F116" s="295"/>
      <c r="G116" s="351"/>
      <c r="H116" s="345">
        <f>SUM(H117)</f>
        <v>22495.775767431598</v>
      </c>
    </row>
    <row r="117" spans="1:10" s="116" customFormat="1" ht="19.95" customHeight="1">
      <c r="A117" s="32" t="s">
        <v>335</v>
      </c>
      <c r="B117" s="45" t="s">
        <v>334</v>
      </c>
      <c r="C117" s="47" t="s">
        <v>52</v>
      </c>
      <c r="D117" s="111">
        <f>H106+G106</f>
        <v>196985.777298</v>
      </c>
      <c r="E117" s="206">
        <f>'Planilha base'!$H$39</f>
        <v>0.1142</v>
      </c>
      <c r="F117" s="281"/>
      <c r="G117" s="352"/>
      <c r="H117" s="346">
        <f>D117*E117</f>
        <v>22495.775767431598</v>
      </c>
    </row>
    <row r="118" spans="1:10" s="116" customFormat="1" ht="19.95" customHeight="1">
      <c r="A118" s="32"/>
      <c r="B118" s="37"/>
      <c r="C118" s="47"/>
      <c r="D118" s="111"/>
      <c r="E118" s="206"/>
      <c r="F118" s="281"/>
      <c r="G118" s="352"/>
      <c r="H118" s="346"/>
    </row>
    <row r="119" spans="1:10" ht="19.95" customHeight="1">
      <c r="A119" s="105">
        <v>3</v>
      </c>
      <c r="B119" s="35" t="s">
        <v>109</v>
      </c>
      <c r="C119" s="113"/>
      <c r="D119" s="106"/>
      <c r="E119" s="39"/>
      <c r="F119" s="295"/>
      <c r="G119" s="351"/>
      <c r="H119" s="345">
        <f>SUM(H120:H121)</f>
        <v>71441.245522797981</v>
      </c>
    </row>
    <row r="120" spans="1:10" s="116" customFormat="1" ht="19.95" customHeight="1">
      <c r="A120" s="32" t="s">
        <v>336</v>
      </c>
      <c r="B120" s="37" t="s">
        <v>67</v>
      </c>
      <c r="C120" s="47" t="s">
        <v>52</v>
      </c>
      <c r="D120" s="111">
        <f>H106+H116+G106</f>
        <v>219481.5530654316</v>
      </c>
      <c r="E120" s="206">
        <f>'Planilha base'!$H$40</f>
        <v>0.12</v>
      </c>
      <c r="F120" s="281"/>
      <c r="G120" s="352"/>
      <c r="H120" s="346">
        <f>D120*E120</f>
        <v>26337.78636785179</v>
      </c>
    </row>
    <row r="121" spans="1:10" s="116" customFormat="1" ht="19.95" customHeight="1">
      <c r="A121" s="32" t="s">
        <v>108</v>
      </c>
      <c r="B121" s="37" t="s">
        <v>68</v>
      </c>
      <c r="C121" s="47" t="s">
        <v>52</v>
      </c>
      <c r="D121" s="111">
        <f>H106+H116+G106</f>
        <v>219481.5530654316</v>
      </c>
      <c r="E121" s="206">
        <f>'Planilha base'!$H$41</f>
        <v>0.20550000000000002</v>
      </c>
      <c r="F121" s="281"/>
      <c r="G121" s="352"/>
      <c r="H121" s="346">
        <f>D121*E121</f>
        <v>45103.459154946198</v>
      </c>
    </row>
    <row r="122" spans="1:10" s="116" customFormat="1" ht="19.95" customHeight="1">
      <c r="A122" s="32"/>
      <c r="B122" s="37"/>
      <c r="C122" s="47"/>
      <c r="D122" s="111"/>
      <c r="E122" s="115"/>
      <c r="F122" s="254"/>
      <c r="G122" s="356"/>
      <c r="H122" s="345">
        <f>H119+H116+H106+G106</f>
        <v>290922.79858822958</v>
      </c>
    </row>
    <row r="123" spans="1:10" s="116" customFormat="1" ht="19.95" customHeight="1">
      <c r="A123" s="32"/>
      <c r="B123" s="37"/>
      <c r="C123" s="47"/>
      <c r="D123" s="111"/>
      <c r="E123" s="115"/>
      <c r="F123" s="254"/>
      <c r="G123" s="356"/>
      <c r="H123" s="346"/>
    </row>
    <row r="124" spans="1:10" s="116" customFormat="1" ht="19.95" customHeight="1">
      <c r="A124" s="117" t="s">
        <v>110</v>
      </c>
      <c r="B124" s="118" t="s">
        <v>19</v>
      </c>
      <c r="C124" s="119" t="s">
        <v>107</v>
      </c>
      <c r="D124" s="120">
        <f>SUM(D107:D110,D112:D114)</f>
        <v>2554.8599999999997</v>
      </c>
      <c r="E124" s="349">
        <f>'Custo Gerencial LOTE 02'!$I$66</f>
        <v>46.08</v>
      </c>
      <c r="F124" s="296"/>
      <c r="G124" s="355"/>
      <c r="H124" s="347">
        <f>D124*E124</f>
        <v>117727.94879999998</v>
      </c>
    </row>
    <row r="125" spans="1:10" s="116" customFormat="1" ht="19.95" customHeight="1">
      <c r="A125" s="32"/>
      <c r="B125" s="37"/>
      <c r="C125" s="47"/>
      <c r="D125" s="111"/>
      <c r="E125" s="344"/>
      <c r="F125" s="254"/>
      <c r="G125" s="356"/>
      <c r="H125" s="346"/>
    </row>
    <row r="126" spans="1:10" s="116" customFormat="1" ht="19.95" customHeight="1" thickBot="1">
      <c r="A126" s="121"/>
      <c r="B126" s="122" t="s">
        <v>111</v>
      </c>
      <c r="C126" s="123" t="s">
        <v>57</v>
      </c>
      <c r="D126" s="124">
        <v>12</v>
      </c>
      <c r="E126" s="350">
        <f>H105</f>
        <v>408650.74738822959</v>
      </c>
      <c r="F126" s="297"/>
      <c r="G126" s="357"/>
      <c r="H126" s="348">
        <f>E126*D126</f>
        <v>4903808.9686587546</v>
      </c>
      <c r="I126" s="157"/>
      <c r="J126" s="158"/>
    </row>
    <row r="127" spans="1:10" ht="19.95" customHeight="1" thickBot="1">
      <c r="A127" s="126"/>
      <c r="B127" s="126"/>
      <c r="C127" s="126"/>
      <c r="D127" s="126"/>
      <c r="H127" s="126"/>
    </row>
    <row r="128" spans="1:10" ht="19.95" customHeight="1" thickBot="1">
      <c r="A128" s="544" t="s">
        <v>548</v>
      </c>
      <c r="B128" s="545"/>
      <c r="C128" s="545"/>
      <c r="D128" s="545"/>
      <c r="E128" s="545"/>
      <c r="F128" s="546"/>
      <c r="G128" s="546"/>
      <c r="H128" s="547"/>
      <c r="I128" s="187"/>
      <c r="J128" s="187"/>
    </row>
    <row r="129" spans="1:14" ht="19.95" customHeight="1">
      <c r="A129" s="548" t="s">
        <v>12</v>
      </c>
      <c r="B129" s="550" t="s">
        <v>14</v>
      </c>
      <c r="C129" s="550"/>
      <c r="D129" s="552" t="s">
        <v>72</v>
      </c>
      <c r="E129" s="554" t="s">
        <v>112</v>
      </c>
      <c r="F129" s="555"/>
      <c r="G129" s="555"/>
      <c r="H129" s="556"/>
    </row>
    <row r="130" spans="1:14" ht="19.95" customHeight="1">
      <c r="A130" s="549"/>
      <c r="B130" s="551"/>
      <c r="C130" s="551"/>
      <c r="D130" s="553"/>
      <c r="E130" s="191" t="s">
        <v>113</v>
      </c>
      <c r="F130" s="298"/>
      <c r="G130" s="298"/>
      <c r="H130" s="182" t="s">
        <v>18</v>
      </c>
    </row>
    <row r="131" spans="1:14" ht="19.95" customHeight="1">
      <c r="A131" s="129" t="str">
        <f>A3</f>
        <v>A</v>
      </c>
      <c r="B131" s="130" t="str">
        <f>B3</f>
        <v>Relatório de Apoio na Análise da Monitoração do Pavimento</v>
      </c>
      <c r="C131" s="131"/>
      <c r="D131" s="185">
        <f>D21</f>
        <v>1</v>
      </c>
      <c r="E131" s="360">
        <f>E21</f>
        <v>446247.93916386185</v>
      </c>
      <c r="F131" s="185"/>
      <c r="G131" s="185"/>
      <c r="H131" s="358">
        <f t="shared" ref="H131:H136" si="9">ROUND(D131*E131,2)</f>
        <v>446247.94</v>
      </c>
      <c r="K131" s="133"/>
    </row>
    <row r="132" spans="1:14" ht="19.95" customHeight="1">
      <c r="A132" s="129" t="str">
        <f>A23</f>
        <v>B</v>
      </c>
      <c r="B132" s="130" t="str">
        <f>B23</f>
        <v>Relatório de Apoio na Análise da Monitoração da Sinalização Horizontal</v>
      </c>
      <c r="C132" s="131"/>
      <c r="D132" s="185">
        <f>D41</f>
        <v>1</v>
      </c>
      <c r="E132" s="360">
        <f>E41</f>
        <v>293208.58292882488</v>
      </c>
      <c r="F132" s="185"/>
      <c r="G132" s="185"/>
      <c r="H132" s="358">
        <f t="shared" si="9"/>
        <v>293208.58</v>
      </c>
    </row>
    <row r="133" spans="1:14" ht="19.95" customHeight="1">
      <c r="A133" s="129" t="str">
        <f>A43</f>
        <v>C</v>
      </c>
      <c r="B133" s="130" t="str">
        <f>B43</f>
        <v>Relatório de Apoio na Análise da Monitoração da Sinalização Vertical</v>
      </c>
      <c r="C133" s="131"/>
      <c r="D133" s="185">
        <f>D61</f>
        <v>1</v>
      </c>
      <c r="E133" s="360">
        <f>E61</f>
        <v>376999.3364583723</v>
      </c>
      <c r="F133" s="185"/>
      <c r="G133" s="185"/>
      <c r="H133" s="358">
        <f t="shared" si="9"/>
        <v>376999.34</v>
      </c>
    </row>
    <row r="134" spans="1:14" ht="19.95" customHeight="1">
      <c r="A134" s="129" t="str">
        <f>A63</f>
        <v>D</v>
      </c>
      <c r="B134" s="130" t="str">
        <f>B63</f>
        <v>Relatório de Apoio na Análise da Monitoração das Obras de Arte Especial</v>
      </c>
      <c r="C134" s="131"/>
      <c r="D134" s="185">
        <f>D81</f>
        <v>1</v>
      </c>
      <c r="E134" s="360">
        <f>E81</f>
        <v>422445.37091115775</v>
      </c>
      <c r="F134" s="185"/>
      <c r="G134" s="185"/>
      <c r="H134" s="358">
        <f t="shared" si="9"/>
        <v>422445.37</v>
      </c>
    </row>
    <row r="135" spans="1:14" ht="19.95" customHeight="1">
      <c r="A135" s="129" t="str">
        <f>A83</f>
        <v>E</v>
      </c>
      <c r="B135" s="130" t="str">
        <f>B83</f>
        <v>Relatório de Apoio na Análise da Monitoração dos Terraplenos e Estruturas de Contenção</v>
      </c>
      <c r="C135" s="131"/>
      <c r="D135" s="185">
        <f>D101</f>
        <v>1</v>
      </c>
      <c r="E135" s="360">
        <f>E101</f>
        <v>352351.11124999885</v>
      </c>
      <c r="F135" s="185"/>
      <c r="G135" s="185"/>
      <c r="H135" s="358">
        <f t="shared" si="9"/>
        <v>352351.11</v>
      </c>
    </row>
    <row r="136" spans="1:14" ht="19.95" customHeight="1" thickBot="1">
      <c r="A136" s="188" t="str">
        <f>A103</f>
        <v>F</v>
      </c>
      <c r="B136" s="189" t="str">
        <f>B103</f>
        <v>Relatório de Apoio no Acompanhamento da Conservação, Manutenção, Operação e Obras</v>
      </c>
      <c r="C136" s="190"/>
      <c r="D136" s="186">
        <f>D126</f>
        <v>12</v>
      </c>
      <c r="E136" s="361">
        <f>E126</f>
        <v>408650.74738822959</v>
      </c>
      <c r="F136" s="186"/>
      <c r="G136" s="186"/>
      <c r="H136" s="359">
        <f t="shared" si="9"/>
        <v>4903808.97</v>
      </c>
      <c r="K136" s="160"/>
      <c r="L136" s="160"/>
      <c r="M136" s="160"/>
      <c r="N136" s="160"/>
    </row>
    <row r="137" spans="1:14" ht="19.95" customHeight="1" thickBot="1">
      <c r="D137" s="159"/>
      <c r="E137" s="183" t="s">
        <v>87</v>
      </c>
      <c r="F137" s="299"/>
      <c r="G137" s="299"/>
      <c r="H137" s="184">
        <f>ROUND(SUM(H131:H136),2)</f>
        <v>6795061.3099999996</v>
      </c>
      <c r="K137" s="192"/>
      <c r="L137" s="193"/>
      <c r="M137" s="193"/>
      <c r="N137" s="160"/>
    </row>
    <row r="138" spans="1:14">
      <c r="D138" s="132"/>
      <c r="E138" s="160"/>
      <c r="F138" s="160"/>
      <c r="G138" s="160"/>
      <c r="K138" s="160"/>
      <c r="L138" s="160"/>
      <c r="M138" s="160"/>
      <c r="N138" s="160"/>
    </row>
    <row r="139" spans="1:14">
      <c r="D139" s="82"/>
      <c r="H139" s="133"/>
      <c r="K139" s="160"/>
      <c r="L139" s="160"/>
      <c r="M139" s="160"/>
      <c r="N139" s="160"/>
    </row>
  </sheetData>
  <autoFilter ref="A5:A127" xr:uid="{00000000-0009-0000-0000-000002000000}"/>
  <mergeCells count="14">
    <mergeCell ref="B63:H63"/>
    <mergeCell ref="B83:H83"/>
    <mergeCell ref="B103:H103"/>
    <mergeCell ref="A128:H128"/>
    <mergeCell ref="A129:A130"/>
    <mergeCell ref="B129:C130"/>
    <mergeCell ref="D129:D130"/>
    <mergeCell ref="E129:H129"/>
    <mergeCell ref="B43:H43"/>
    <mergeCell ref="A1:B1"/>
    <mergeCell ref="C1:E1"/>
    <mergeCell ref="B3:H3"/>
    <mergeCell ref="L3:Q3"/>
    <mergeCell ref="B23:H23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2" max="6" man="1"/>
    <brk id="42" max="6" man="1"/>
    <brk id="82" max="6" man="1"/>
    <brk id="102" max="6" man="1"/>
    <brk id="127" max="6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M67"/>
  <sheetViews>
    <sheetView topLeftCell="A37" zoomScale="85" zoomScaleNormal="85" zoomScaleSheetLayoutView="90" workbookViewId="0">
      <selection activeCell="A39" sqref="A39"/>
    </sheetView>
  </sheetViews>
  <sheetFormatPr defaultColWidth="8.6640625" defaultRowHeight="14.4"/>
  <cols>
    <col min="1" max="1" width="8.6640625" style="9" customWidth="1"/>
    <col min="2" max="2" width="6.33203125" style="9" customWidth="1"/>
    <col min="3" max="3" width="59.109375" style="9" customWidth="1"/>
    <col min="4" max="4" width="14.33203125" style="57" bestFit="1" customWidth="1"/>
    <col min="5" max="5" width="13.109375" style="9" customWidth="1"/>
    <col min="6" max="6" width="11" style="9" bestFit="1" customWidth="1"/>
    <col min="7" max="7" width="9.5546875" style="9" bestFit="1" customWidth="1"/>
    <col min="8" max="8" width="10.5546875" style="9" bestFit="1" customWidth="1"/>
    <col min="9" max="9" width="15.33203125" style="9" customWidth="1"/>
    <col min="10" max="10" width="9" style="9" customWidth="1"/>
    <col min="11" max="11" width="9.5546875" style="150" customWidth="1"/>
    <col min="12" max="13" width="9.5546875" style="10" customWidth="1"/>
    <col min="14" max="20" width="9.5546875" style="9" customWidth="1"/>
    <col min="21" max="258" width="8.6640625" style="9"/>
    <col min="259" max="260" width="10.6640625" style="9" customWidth="1"/>
    <col min="261" max="261" width="36.6640625" style="9" customWidth="1"/>
    <col min="262" max="262" width="35.44140625" style="9" customWidth="1"/>
    <col min="263" max="263" width="14.109375" style="9" customWidth="1"/>
    <col min="264" max="264" width="16" style="9" customWidth="1"/>
    <col min="265" max="265" width="19.33203125" style="9" customWidth="1"/>
    <col min="266" max="266" width="15" style="9" customWidth="1"/>
    <col min="267" max="267" width="9.6640625" style="9" bestFit="1" customWidth="1"/>
    <col min="268" max="514" width="8.6640625" style="9"/>
    <col min="515" max="516" width="10.6640625" style="9" customWidth="1"/>
    <col min="517" max="517" width="36.6640625" style="9" customWidth="1"/>
    <col min="518" max="518" width="35.44140625" style="9" customWidth="1"/>
    <col min="519" max="519" width="14.109375" style="9" customWidth="1"/>
    <col min="520" max="520" width="16" style="9" customWidth="1"/>
    <col min="521" max="521" width="19.33203125" style="9" customWidth="1"/>
    <col min="522" max="522" width="15" style="9" customWidth="1"/>
    <col min="523" max="523" width="9.6640625" style="9" bestFit="1" customWidth="1"/>
    <col min="524" max="770" width="8.6640625" style="9"/>
    <col min="771" max="772" width="10.6640625" style="9" customWidth="1"/>
    <col min="773" max="773" width="36.6640625" style="9" customWidth="1"/>
    <col min="774" max="774" width="35.44140625" style="9" customWidth="1"/>
    <col min="775" max="775" width="14.109375" style="9" customWidth="1"/>
    <col min="776" max="776" width="16" style="9" customWidth="1"/>
    <col min="777" max="777" width="19.33203125" style="9" customWidth="1"/>
    <col min="778" max="778" width="15" style="9" customWidth="1"/>
    <col min="779" max="779" width="9.6640625" style="9" bestFit="1" customWidth="1"/>
    <col min="780" max="1026" width="8.6640625" style="9"/>
    <col min="1027" max="1028" width="10.6640625" style="9" customWidth="1"/>
    <col min="1029" max="1029" width="36.6640625" style="9" customWidth="1"/>
    <col min="1030" max="1030" width="35.44140625" style="9" customWidth="1"/>
    <col min="1031" max="1031" width="14.109375" style="9" customWidth="1"/>
    <col min="1032" max="1032" width="16" style="9" customWidth="1"/>
    <col min="1033" max="1033" width="19.33203125" style="9" customWidth="1"/>
    <col min="1034" max="1034" width="15" style="9" customWidth="1"/>
    <col min="1035" max="1035" width="9.6640625" style="9" bestFit="1" customWidth="1"/>
    <col min="1036" max="1282" width="8.6640625" style="9"/>
    <col min="1283" max="1284" width="10.6640625" style="9" customWidth="1"/>
    <col min="1285" max="1285" width="36.6640625" style="9" customWidth="1"/>
    <col min="1286" max="1286" width="35.44140625" style="9" customWidth="1"/>
    <col min="1287" max="1287" width="14.109375" style="9" customWidth="1"/>
    <col min="1288" max="1288" width="16" style="9" customWidth="1"/>
    <col min="1289" max="1289" width="19.33203125" style="9" customWidth="1"/>
    <col min="1290" max="1290" width="15" style="9" customWidth="1"/>
    <col min="1291" max="1291" width="9.6640625" style="9" bestFit="1" customWidth="1"/>
    <col min="1292" max="1538" width="8.6640625" style="9"/>
    <col min="1539" max="1540" width="10.6640625" style="9" customWidth="1"/>
    <col min="1541" max="1541" width="36.6640625" style="9" customWidth="1"/>
    <col min="1542" max="1542" width="35.44140625" style="9" customWidth="1"/>
    <col min="1543" max="1543" width="14.109375" style="9" customWidth="1"/>
    <col min="1544" max="1544" width="16" style="9" customWidth="1"/>
    <col min="1545" max="1545" width="19.33203125" style="9" customWidth="1"/>
    <col min="1546" max="1546" width="15" style="9" customWidth="1"/>
    <col min="1547" max="1547" width="9.6640625" style="9" bestFit="1" customWidth="1"/>
    <col min="1548" max="1794" width="8.6640625" style="9"/>
    <col min="1795" max="1796" width="10.6640625" style="9" customWidth="1"/>
    <col min="1797" max="1797" width="36.6640625" style="9" customWidth="1"/>
    <col min="1798" max="1798" width="35.44140625" style="9" customWidth="1"/>
    <col min="1799" max="1799" width="14.109375" style="9" customWidth="1"/>
    <col min="1800" max="1800" width="16" style="9" customWidth="1"/>
    <col min="1801" max="1801" width="19.33203125" style="9" customWidth="1"/>
    <col min="1802" max="1802" width="15" style="9" customWidth="1"/>
    <col min="1803" max="1803" width="9.6640625" style="9" bestFit="1" customWidth="1"/>
    <col min="1804" max="2050" width="8.6640625" style="9"/>
    <col min="2051" max="2052" width="10.6640625" style="9" customWidth="1"/>
    <col min="2053" max="2053" width="36.6640625" style="9" customWidth="1"/>
    <col min="2054" max="2054" width="35.44140625" style="9" customWidth="1"/>
    <col min="2055" max="2055" width="14.109375" style="9" customWidth="1"/>
    <col min="2056" max="2056" width="16" style="9" customWidth="1"/>
    <col min="2057" max="2057" width="19.33203125" style="9" customWidth="1"/>
    <col min="2058" max="2058" width="15" style="9" customWidth="1"/>
    <col min="2059" max="2059" width="9.6640625" style="9" bestFit="1" customWidth="1"/>
    <col min="2060" max="2306" width="8.6640625" style="9"/>
    <col min="2307" max="2308" width="10.6640625" style="9" customWidth="1"/>
    <col min="2309" max="2309" width="36.6640625" style="9" customWidth="1"/>
    <col min="2310" max="2310" width="35.44140625" style="9" customWidth="1"/>
    <col min="2311" max="2311" width="14.109375" style="9" customWidth="1"/>
    <col min="2312" max="2312" width="16" style="9" customWidth="1"/>
    <col min="2313" max="2313" width="19.33203125" style="9" customWidth="1"/>
    <col min="2314" max="2314" width="15" style="9" customWidth="1"/>
    <col min="2315" max="2315" width="9.6640625" style="9" bestFit="1" customWidth="1"/>
    <col min="2316" max="2562" width="8.6640625" style="9"/>
    <col min="2563" max="2564" width="10.6640625" style="9" customWidth="1"/>
    <col min="2565" max="2565" width="36.6640625" style="9" customWidth="1"/>
    <col min="2566" max="2566" width="35.44140625" style="9" customWidth="1"/>
    <col min="2567" max="2567" width="14.109375" style="9" customWidth="1"/>
    <col min="2568" max="2568" width="16" style="9" customWidth="1"/>
    <col min="2569" max="2569" width="19.33203125" style="9" customWidth="1"/>
    <col min="2570" max="2570" width="15" style="9" customWidth="1"/>
    <col min="2571" max="2571" width="9.6640625" style="9" bestFit="1" customWidth="1"/>
    <col min="2572" max="2818" width="8.6640625" style="9"/>
    <col min="2819" max="2820" width="10.6640625" style="9" customWidth="1"/>
    <col min="2821" max="2821" width="36.6640625" style="9" customWidth="1"/>
    <col min="2822" max="2822" width="35.44140625" style="9" customWidth="1"/>
    <col min="2823" max="2823" width="14.109375" style="9" customWidth="1"/>
    <col min="2824" max="2824" width="16" style="9" customWidth="1"/>
    <col min="2825" max="2825" width="19.33203125" style="9" customWidth="1"/>
    <col min="2826" max="2826" width="15" style="9" customWidth="1"/>
    <col min="2827" max="2827" width="9.6640625" style="9" bestFit="1" customWidth="1"/>
    <col min="2828" max="3074" width="8.6640625" style="9"/>
    <col min="3075" max="3076" width="10.6640625" style="9" customWidth="1"/>
    <col min="3077" max="3077" width="36.6640625" style="9" customWidth="1"/>
    <col min="3078" max="3078" width="35.44140625" style="9" customWidth="1"/>
    <col min="3079" max="3079" width="14.109375" style="9" customWidth="1"/>
    <col min="3080" max="3080" width="16" style="9" customWidth="1"/>
    <col min="3081" max="3081" width="19.33203125" style="9" customWidth="1"/>
    <col min="3082" max="3082" width="15" style="9" customWidth="1"/>
    <col min="3083" max="3083" width="9.6640625" style="9" bestFit="1" customWidth="1"/>
    <col min="3084" max="3330" width="8.6640625" style="9"/>
    <col min="3331" max="3332" width="10.6640625" style="9" customWidth="1"/>
    <col min="3333" max="3333" width="36.6640625" style="9" customWidth="1"/>
    <col min="3334" max="3334" width="35.44140625" style="9" customWidth="1"/>
    <col min="3335" max="3335" width="14.109375" style="9" customWidth="1"/>
    <col min="3336" max="3336" width="16" style="9" customWidth="1"/>
    <col min="3337" max="3337" width="19.33203125" style="9" customWidth="1"/>
    <col min="3338" max="3338" width="15" style="9" customWidth="1"/>
    <col min="3339" max="3339" width="9.6640625" style="9" bestFit="1" customWidth="1"/>
    <col min="3340" max="3586" width="8.6640625" style="9"/>
    <col min="3587" max="3588" width="10.6640625" style="9" customWidth="1"/>
    <col min="3589" max="3589" width="36.6640625" style="9" customWidth="1"/>
    <col min="3590" max="3590" width="35.44140625" style="9" customWidth="1"/>
    <col min="3591" max="3591" width="14.109375" style="9" customWidth="1"/>
    <col min="3592" max="3592" width="16" style="9" customWidth="1"/>
    <col min="3593" max="3593" width="19.33203125" style="9" customWidth="1"/>
    <col min="3594" max="3594" width="15" style="9" customWidth="1"/>
    <col min="3595" max="3595" width="9.6640625" style="9" bestFit="1" customWidth="1"/>
    <col min="3596" max="3842" width="8.6640625" style="9"/>
    <col min="3843" max="3844" width="10.6640625" style="9" customWidth="1"/>
    <col min="3845" max="3845" width="36.6640625" style="9" customWidth="1"/>
    <col min="3846" max="3846" width="35.44140625" style="9" customWidth="1"/>
    <col min="3847" max="3847" width="14.109375" style="9" customWidth="1"/>
    <col min="3848" max="3848" width="16" style="9" customWidth="1"/>
    <col min="3849" max="3849" width="19.33203125" style="9" customWidth="1"/>
    <col min="3850" max="3850" width="15" style="9" customWidth="1"/>
    <col min="3851" max="3851" width="9.6640625" style="9" bestFit="1" customWidth="1"/>
    <col min="3852" max="4098" width="8.6640625" style="9"/>
    <col min="4099" max="4100" width="10.6640625" style="9" customWidth="1"/>
    <col min="4101" max="4101" width="36.6640625" style="9" customWidth="1"/>
    <col min="4102" max="4102" width="35.44140625" style="9" customWidth="1"/>
    <col min="4103" max="4103" width="14.109375" style="9" customWidth="1"/>
    <col min="4104" max="4104" width="16" style="9" customWidth="1"/>
    <col min="4105" max="4105" width="19.33203125" style="9" customWidth="1"/>
    <col min="4106" max="4106" width="15" style="9" customWidth="1"/>
    <col min="4107" max="4107" width="9.6640625" style="9" bestFit="1" customWidth="1"/>
    <col min="4108" max="4354" width="8.6640625" style="9"/>
    <col min="4355" max="4356" width="10.6640625" style="9" customWidth="1"/>
    <col min="4357" max="4357" width="36.6640625" style="9" customWidth="1"/>
    <col min="4358" max="4358" width="35.44140625" style="9" customWidth="1"/>
    <col min="4359" max="4359" width="14.109375" style="9" customWidth="1"/>
    <col min="4360" max="4360" width="16" style="9" customWidth="1"/>
    <col min="4361" max="4361" width="19.33203125" style="9" customWidth="1"/>
    <col min="4362" max="4362" width="15" style="9" customWidth="1"/>
    <col min="4363" max="4363" width="9.6640625" style="9" bestFit="1" customWidth="1"/>
    <col min="4364" max="4610" width="8.6640625" style="9"/>
    <col min="4611" max="4612" width="10.6640625" style="9" customWidth="1"/>
    <col min="4613" max="4613" width="36.6640625" style="9" customWidth="1"/>
    <col min="4614" max="4614" width="35.44140625" style="9" customWidth="1"/>
    <col min="4615" max="4615" width="14.109375" style="9" customWidth="1"/>
    <col min="4616" max="4616" width="16" style="9" customWidth="1"/>
    <col min="4617" max="4617" width="19.33203125" style="9" customWidth="1"/>
    <col min="4618" max="4618" width="15" style="9" customWidth="1"/>
    <col min="4619" max="4619" width="9.6640625" style="9" bestFit="1" customWidth="1"/>
    <col min="4620" max="4866" width="8.6640625" style="9"/>
    <col min="4867" max="4868" width="10.6640625" style="9" customWidth="1"/>
    <col min="4869" max="4869" width="36.6640625" style="9" customWidth="1"/>
    <col min="4870" max="4870" width="35.44140625" style="9" customWidth="1"/>
    <col min="4871" max="4871" width="14.109375" style="9" customWidth="1"/>
    <col min="4872" max="4872" width="16" style="9" customWidth="1"/>
    <col min="4873" max="4873" width="19.33203125" style="9" customWidth="1"/>
    <col min="4874" max="4874" width="15" style="9" customWidth="1"/>
    <col min="4875" max="4875" width="9.6640625" style="9" bestFit="1" customWidth="1"/>
    <col min="4876" max="5122" width="8.6640625" style="9"/>
    <col min="5123" max="5124" width="10.6640625" style="9" customWidth="1"/>
    <col min="5125" max="5125" width="36.6640625" style="9" customWidth="1"/>
    <col min="5126" max="5126" width="35.44140625" style="9" customWidth="1"/>
    <col min="5127" max="5127" width="14.109375" style="9" customWidth="1"/>
    <col min="5128" max="5128" width="16" style="9" customWidth="1"/>
    <col min="5129" max="5129" width="19.33203125" style="9" customWidth="1"/>
    <col min="5130" max="5130" width="15" style="9" customWidth="1"/>
    <col min="5131" max="5131" width="9.6640625" style="9" bestFit="1" customWidth="1"/>
    <col min="5132" max="5378" width="8.6640625" style="9"/>
    <col min="5379" max="5380" width="10.6640625" style="9" customWidth="1"/>
    <col min="5381" max="5381" width="36.6640625" style="9" customWidth="1"/>
    <col min="5382" max="5382" width="35.44140625" style="9" customWidth="1"/>
    <col min="5383" max="5383" width="14.109375" style="9" customWidth="1"/>
    <col min="5384" max="5384" width="16" style="9" customWidth="1"/>
    <col min="5385" max="5385" width="19.33203125" style="9" customWidth="1"/>
    <col min="5386" max="5386" width="15" style="9" customWidth="1"/>
    <col min="5387" max="5387" width="9.6640625" style="9" bestFit="1" customWidth="1"/>
    <col min="5388" max="5634" width="8.6640625" style="9"/>
    <col min="5635" max="5636" width="10.6640625" style="9" customWidth="1"/>
    <col min="5637" max="5637" width="36.6640625" style="9" customWidth="1"/>
    <col min="5638" max="5638" width="35.44140625" style="9" customWidth="1"/>
    <col min="5639" max="5639" width="14.109375" style="9" customWidth="1"/>
    <col min="5640" max="5640" width="16" style="9" customWidth="1"/>
    <col min="5641" max="5641" width="19.33203125" style="9" customWidth="1"/>
    <col min="5642" max="5642" width="15" style="9" customWidth="1"/>
    <col min="5643" max="5643" width="9.6640625" style="9" bestFit="1" customWidth="1"/>
    <col min="5644" max="5890" width="8.6640625" style="9"/>
    <col min="5891" max="5892" width="10.6640625" style="9" customWidth="1"/>
    <col min="5893" max="5893" width="36.6640625" style="9" customWidth="1"/>
    <col min="5894" max="5894" width="35.44140625" style="9" customWidth="1"/>
    <col min="5895" max="5895" width="14.109375" style="9" customWidth="1"/>
    <col min="5896" max="5896" width="16" style="9" customWidth="1"/>
    <col min="5897" max="5897" width="19.33203125" style="9" customWidth="1"/>
    <col min="5898" max="5898" width="15" style="9" customWidth="1"/>
    <col min="5899" max="5899" width="9.6640625" style="9" bestFit="1" customWidth="1"/>
    <col min="5900" max="6146" width="8.6640625" style="9"/>
    <col min="6147" max="6148" width="10.6640625" style="9" customWidth="1"/>
    <col min="6149" max="6149" width="36.6640625" style="9" customWidth="1"/>
    <col min="6150" max="6150" width="35.44140625" style="9" customWidth="1"/>
    <col min="6151" max="6151" width="14.109375" style="9" customWidth="1"/>
    <col min="6152" max="6152" width="16" style="9" customWidth="1"/>
    <col min="6153" max="6153" width="19.33203125" style="9" customWidth="1"/>
    <col min="6154" max="6154" width="15" style="9" customWidth="1"/>
    <col min="6155" max="6155" width="9.6640625" style="9" bestFit="1" customWidth="1"/>
    <col min="6156" max="6402" width="8.6640625" style="9"/>
    <col min="6403" max="6404" width="10.6640625" style="9" customWidth="1"/>
    <col min="6405" max="6405" width="36.6640625" style="9" customWidth="1"/>
    <col min="6406" max="6406" width="35.44140625" style="9" customWidth="1"/>
    <col min="6407" max="6407" width="14.109375" style="9" customWidth="1"/>
    <col min="6408" max="6408" width="16" style="9" customWidth="1"/>
    <col min="6409" max="6409" width="19.33203125" style="9" customWidth="1"/>
    <col min="6410" max="6410" width="15" style="9" customWidth="1"/>
    <col min="6411" max="6411" width="9.6640625" style="9" bestFit="1" customWidth="1"/>
    <col min="6412" max="6658" width="8.6640625" style="9"/>
    <col min="6659" max="6660" width="10.6640625" style="9" customWidth="1"/>
    <col min="6661" max="6661" width="36.6640625" style="9" customWidth="1"/>
    <col min="6662" max="6662" width="35.44140625" style="9" customWidth="1"/>
    <col min="6663" max="6663" width="14.109375" style="9" customWidth="1"/>
    <col min="6664" max="6664" width="16" style="9" customWidth="1"/>
    <col min="6665" max="6665" width="19.33203125" style="9" customWidth="1"/>
    <col min="6666" max="6666" width="15" style="9" customWidth="1"/>
    <col min="6667" max="6667" width="9.6640625" style="9" bestFit="1" customWidth="1"/>
    <col min="6668" max="6914" width="8.6640625" style="9"/>
    <col min="6915" max="6916" width="10.6640625" style="9" customWidth="1"/>
    <col min="6917" max="6917" width="36.6640625" style="9" customWidth="1"/>
    <col min="6918" max="6918" width="35.44140625" style="9" customWidth="1"/>
    <col min="6919" max="6919" width="14.109375" style="9" customWidth="1"/>
    <col min="6920" max="6920" width="16" style="9" customWidth="1"/>
    <col min="6921" max="6921" width="19.33203125" style="9" customWidth="1"/>
    <col min="6922" max="6922" width="15" style="9" customWidth="1"/>
    <col min="6923" max="6923" width="9.6640625" style="9" bestFit="1" customWidth="1"/>
    <col min="6924" max="7170" width="8.6640625" style="9"/>
    <col min="7171" max="7172" width="10.6640625" style="9" customWidth="1"/>
    <col min="7173" max="7173" width="36.6640625" style="9" customWidth="1"/>
    <col min="7174" max="7174" width="35.44140625" style="9" customWidth="1"/>
    <col min="7175" max="7175" width="14.109375" style="9" customWidth="1"/>
    <col min="7176" max="7176" width="16" style="9" customWidth="1"/>
    <col min="7177" max="7177" width="19.33203125" style="9" customWidth="1"/>
    <col min="7178" max="7178" width="15" style="9" customWidth="1"/>
    <col min="7179" max="7179" width="9.6640625" style="9" bestFit="1" customWidth="1"/>
    <col min="7180" max="7426" width="8.6640625" style="9"/>
    <col min="7427" max="7428" width="10.6640625" style="9" customWidth="1"/>
    <col min="7429" max="7429" width="36.6640625" style="9" customWidth="1"/>
    <col min="7430" max="7430" width="35.44140625" style="9" customWidth="1"/>
    <col min="7431" max="7431" width="14.109375" style="9" customWidth="1"/>
    <col min="7432" max="7432" width="16" style="9" customWidth="1"/>
    <col min="7433" max="7433" width="19.33203125" style="9" customWidth="1"/>
    <col min="7434" max="7434" width="15" style="9" customWidth="1"/>
    <col min="7435" max="7435" width="9.6640625" style="9" bestFit="1" customWidth="1"/>
    <col min="7436" max="7682" width="8.6640625" style="9"/>
    <col min="7683" max="7684" width="10.6640625" style="9" customWidth="1"/>
    <col min="7685" max="7685" width="36.6640625" style="9" customWidth="1"/>
    <col min="7686" max="7686" width="35.44140625" style="9" customWidth="1"/>
    <col min="7687" max="7687" width="14.109375" style="9" customWidth="1"/>
    <col min="7688" max="7688" width="16" style="9" customWidth="1"/>
    <col min="7689" max="7689" width="19.33203125" style="9" customWidth="1"/>
    <col min="7690" max="7690" width="15" style="9" customWidth="1"/>
    <col min="7691" max="7691" width="9.6640625" style="9" bestFit="1" customWidth="1"/>
    <col min="7692" max="7938" width="8.6640625" style="9"/>
    <col min="7939" max="7940" width="10.6640625" style="9" customWidth="1"/>
    <col min="7941" max="7941" width="36.6640625" style="9" customWidth="1"/>
    <col min="7942" max="7942" width="35.44140625" style="9" customWidth="1"/>
    <col min="7943" max="7943" width="14.109375" style="9" customWidth="1"/>
    <col min="7944" max="7944" width="16" style="9" customWidth="1"/>
    <col min="7945" max="7945" width="19.33203125" style="9" customWidth="1"/>
    <col min="7946" max="7946" width="15" style="9" customWidth="1"/>
    <col min="7947" max="7947" width="9.6640625" style="9" bestFit="1" customWidth="1"/>
    <col min="7948" max="8194" width="8.6640625" style="9"/>
    <col min="8195" max="8196" width="10.6640625" style="9" customWidth="1"/>
    <col min="8197" max="8197" width="36.6640625" style="9" customWidth="1"/>
    <col min="8198" max="8198" width="35.44140625" style="9" customWidth="1"/>
    <col min="8199" max="8199" width="14.109375" style="9" customWidth="1"/>
    <col min="8200" max="8200" width="16" style="9" customWidth="1"/>
    <col min="8201" max="8201" width="19.33203125" style="9" customWidth="1"/>
    <col min="8202" max="8202" width="15" style="9" customWidth="1"/>
    <col min="8203" max="8203" width="9.6640625" style="9" bestFit="1" customWidth="1"/>
    <col min="8204" max="8450" width="8.6640625" style="9"/>
    <col min="8451" max="8452" width="10.6640625" style="9" customWidth="1"/>
    <col min="8453" max="8453" width="36.6640625" style="9" customWidth="1"/>
    <col min="8454" max="8454" width="35.44140625" style="9" customWidth="1"/>
    <col min="8455" max="8455" width="14.109375" style="9" customWidth="1"/>
    <col min="8456" max="8456" width="16" style="9" customWidth="1"/>
    <col min="8457" max="8457" width="19.33203125" style="9" customWidth="1"/>
    <col min="8458" max="8458" width="15" style="9" customWidth="1"/>
    <col min="8459" max="8459" width="9.6640625" style="9" bestFit="1" customWidth="1"/>
    <col min="8460" max="8706" width="8.6640625" style="9"/>
    <col min="8707" max="8708" width="10.6640625" style="9" customWidth="1"/>
    <col min="8709" max="8709" width="36.6640625" style="9" customWidth="1"/>
    <col min="8710" max="8710" width="35.44140625" style="9" customWidth="1"/>
    <col min="8711" max="8711" width="14.109375" style="9" customWidth="1"/>
    <col min="8712" max="8712" width="16" style="9" customWidth="1"/>
    <col min="8713" max="8713" width="19.33203125" style="9" customWidth="1"/>
    <col min="8714" max="8714" width="15" style="9" customWidth="1"/>
    <col min="8715" max="8715" width="9.6640625" style="9" bestFit="1" customWidth="1"/>
    <col min="8716" max="8962" width="8.6640625" style="9"/>
    <col min="8963" max="8964" width="10.6640625" style="9" customWidth="1"/>
    <col min="8965" max="8965" width="36.6640625" style="9" customWidth="1"/>
    <col min="8966" max="8966" width="35.44140625" style="9" customWidth="1"/>
    <col min="8967" max="8967" width="14.109375" style="9" customWidth="1"/>
    <col min="8968" max="8968" width="16" style="9" customWidth="1"/>
    <col min="8969" max="8969" width="19.33203125" style="9" customWidth="1"/>
    <col min="8970" max="8970" width="15" style="9" customWidth="1"/>
    <col min="8971" max="8971" width="9.6640625" style="9" bestFit="1" customWidth="1"/>
    <col min="8972" max="9218" width="8.6640625" style="9"/>
    <col min="9219" max="9220" width="10.6640625" style="9" customWidth="1"/>
    <col min="9221" max="9221" width="36.6640625" style="9" customWidth="1"/>
    <col min="9222" max="9222" width="35.44140625" style="9" customWidth="1"/>
    <col min="9223" max="9223" width="14.109375" style="9" customWidth="1"/>
    <col min="9224" max="9224" width="16" style="9" customWidth="1"/>
    <col min="9225" max="9225" width="19.33203125" style="9" customWidth="1"/>
    <col min="9226" max="9226" width="15" style="9" customWidth="1"/>
    <col min="9227" max="9227" width="9.6640625" style="9" bestFit="1" customWidth="1"/>
    <col min="9228" max="9474" width="8.6640625" style="9"/>
    <col min="9475" max="9476" width="10.6640625" style="9" customWidth="1"/>
    <col min="9477" max="9477" width="36.6640625" style="9" customWidth="1"/>
    <col min="9478" max="9478" width="35.44140625" style="9" customWidth="1"/>
    <col min="9479" max="9479" width="14.109375" style="9" customWidth="1"/>
    <col min="9480" max="9480" width="16" style="9" customWidth="1"/>
    <col min="9481" max="9481" width="19.33203125" style="9" customWidth="1"/>
    <col min="9482" max="9482" width="15" style="9" customWidth="1"/>
    <col min="9483" max="9483" width="9.6640625" style="9" bestFit="1" customWidth="1"/>
    <col min="9484" max="9730" width="8.6640625" style="9"/>
    <col min="9731" max="9732" width="10.6640625" style="9" customWidth="1"/>
    <col min="9733" max="9733" width="36.6640625" style="9" customWidth="1"/>
    <col min="9734" max="9734" width="35.44140625" style="9" customWidth="1"/>
    <col min="9735" max="9735" width="14.109375" style="9" customWidth="1"/>
    <col min="9736" max="9736" width="16" style="9" customWidth="1"/>
    <col min="9737" max="9737" width="19.33203125" style="9" customWidth="1"/>
    <col min="9738" max="9738" width="15" style="9" customWidth="1"/>
    <col min="9739" max="9739" width="9.6640625" style="9" bestFit="1" customWidth="1"/>
    <col min="9740" max="9986" width="8.6640625" style="9"/>
    <col min="9987" max="9988" width="10.6640625" style="9" customWidth="1"/>
    <col min="9989" max="9989" width="36.6640625" style="9" customWidth="1"/>
    <col min="9990" max="9990" width="35.44140625" style="9" customWidth="1"/>
    <col min="9991" max="9991" width="14.109375" style="9" customWidth="1"/>
    <col min="9992" max="9992" width="16" style="9" customWidth="1"/>
    <col min="9993" max="9993" width="19.33203125" style="9" customWidth="1"/>
    <col min="9994" max="9994" width="15" style="9" customWidth="1"/>
    <col min="9995" max="9995" width="9.6640625" style="9" bestFit="1" customWidth="1"/>
    <col min="9996" max="10242" width="8.6640625" style="9"/>
    <col min="10243" max="10244" width="10.6640625" style="9" customWidth="1"/>
    <col min="10245" max="10245" width="36.6640625" style="9" customWidth="1"/>
    <col min="10246" max="10246" width="35.44140625" style="9" customWidth="1"/>
    <col min="10247" max="10247" width="14.109375" style="9" customWidth="1"/>
    <col min="10248" max="10248" width="16" style="9" customWidth="1"/>
    <col min="10249" max="10249" width="19.33203125" style="9" customWidth="1"/>
    <col min="10250" max="10250" width="15" style="9" customWidth="1"/>
    <col min="10251" max="10251" width="9.6640625" style="9" bestFit="1" customWidth="1"/>
    <col min="10252" max="10498" width="8.6640625" style="9"/>
    <col min="10499" max="10500" width="10.6640625" style="9" customWidth="1"/>
    <col min="10501" max="10501" width="36.6640625" style="9" customWidth="1"/>
    <col min="10502" max="10502" width="35.44140625" style="9" customWidth="1"/>
    <col min="10503" max="10503" width="14.109375" style="9" customWidth="1"/>
    <col min="10504" max="10504" width="16" style="9" customWidth="1"/>
    <col min="10505" max="10505" width="19.33203125" style="9" customWidth="1"/>
    <col min="10506" max="10506" width="15" style="9" customWidth="1"/>
    <col min="10507" max="10507" width="9.6640625" style="9" bestFit="1" customWidth="1"/>
    <col min="10508" max="10754" width="8.6640625" style="9"/>
    <col min="10755" max="10756" width="10.6640625" style="9" customWidth="1"/>
    <col min="10757" max="10757" width="36.6640625" style="9" customWidth="1"/>
    <col min="10758" max="10758" width="35.44140625" style="9" customWidth="1"/>
    <col min="10759" max="10759" width="14.109375" style="9" customWidth="1"/>
    <col min="10760" max="10760" width="16" style="9" customWidth="1"/>
    <col min="10761" max="10761" width="19.33203125" style="9" customWidth="1"/>
    <col min="10762" max="10762" width="15" style="9" customWidth="1"/>
    <col min="10763" max="10763" width="9.6640625" style="9" bestFit="1" customWidth="1"/>
    <col min="10764" max="11010" width="8.6640625" style="9"/>
    <col min="11011" max="11012" width="10.6640625" style="9" customWidth="1"/>
    <col min="11013" max="11013" width="36.6640625" style="9" customWidth="1"/>
    <col min="11014" max="11014" width="35.44140625" style="9" customWidth="1"/>
    <col min="11015" max="11015" width="14.109375" style="9" customWidth="1"/>
    <col min="11016" max="11016" width="16" style="9" customWidth="1"/>
    <col min="11017" max="11017" width="19.33203125" style="9" customWidth="1"/>
    <col min="11018" max="11018" width="15" style="9" customWidth="1"/>
    <col min="11019" max="11019" width="9.6640625" style="9" bestFit="1" customWidth="1"/>
    <col min="11020" max="11266" width="8.6640625" style="9"/>
    <col min="11267" max="11268" width="10.6640625" style="9" customWidth="1"/>
    <col min="11269" max="11269" width="36.6640625" style="9" customWidth="1"/>
    <col min="11270" max="11270" width="35.44140625" style="9" customWidth="1"/>
    <col min="11271" max="11271" width="14.109375" style="9" customWidth="1"/>
    <col min="11272" max="11272" width="16" style="9" customWidth="1"/>
    <col min="11273" max="11273" width="19.33203125" style="9" customWidth="1"/>
    <col min="11274" max="11274" width="15" style="9" customWidth="1"/>
    <col min="11275" max="11275" width="9.6640625" style="9" bestFit="1" customWidth="1"/>
    <col min="11276" max="11522" width="8.6640625" style="9"/>
    <col min="11523" max="11524" width="10.6640625" style="9" customWidth="1"/>
    <col min="11525" max="11525" width="36.6640625" style="9" customWidth="1"/>
    <col min="11526" max="11526" width="35.44140625" style="9" customWidth="1"/>
    <col min="11527" max="11527" width="14.109375" style="9" customWidth="1"/>
    <col min="11528" max="11528" width="16" style="9" customWidth="1"/>
    <col min="11529" max="11529" width="19.33203125" style="9" customWidth="1"/>
    <col min="11530" max="11530" width="15" style="9" customWidth="1"/>
    <col min="11531" max="11531" width="9.6640625" style="9" bestFit="1" customWidth="1"/>
    <col min="11532" max="11778" width="8.6640625" style="9"/>
    <col min="11779" max="11780" width="10.6640625" style="9" customWidth="1"/>
    <col min="11781" max="11781" width="36.6640625" style="9" customWidth="1"/>
    <col min="11782" max="11782" width="35.44140625" style="9" customWidth="1"/>
    <col min="11783" max="11783" width="14.109375" style="9" customWidth="1"/>
    <col min="11784" max="11784" width="16" style="9" customWidth="1"/>
    <col min="11785" max="11785" width="19.33203125" style="9" customWidth="1"/>
    <col min="11786" max="11786" width="15" style="9" customWidth="1"/>
    <col min="11787" max="11787" width="9.6640625" style="9" bestFit="1" customWidth="1"/>
    <col min="11788" max="12034" width="8.6640625" style="9"/>
    <col min="12035" max="12036" width="10.6640625" style="9" customWidth="1"/>
    <col min="12037" max="12037" width="36.6640625" style="9" customWidth="1"/>
    <col min="12038" max="12038" width="35.44140625" style="9" customWidth="1"/>
    <col min="12039" max="12039" width="14.109375" style="9" customWidth="1"/>
    <col min="12040" max="12040" width="16" style="9" customWidth="1"/>
    <col min="12041" max="12041" width="19.33203125" style="9" customWidth="1"/>
    <col min="12042" max="12042" width="15" style="9" customWidth="1"/>
    <col min="12043" max="12043" width="9.6640625" style="9" bestFit="1" customWidth="1"/>
    <col min="12044" max="12290" width="8.6640625" style="9"/>
    <col min="12291" max="12292" width="10.6640625" style="9" customWidth="1"/>
    <col min="12293" max="12293" width="36.6640625" style="9" customWidth="1"/>
    <col min="12294" max="12294" width="35.44140625" style="9" customWidth="1"/>
    <col min="12295" max="12295" width="14.109375" style="9" customWidth="1"/>
    <col min="12296" max="12296" width="16" style="9" customWidth="1"/>
    <col min="12297" max="12297" width="19.33203125" style="9" customWidth="1"/>
    <col min="12298" max="12298" width="15" style="9" customWidth="1"/>
    <col min="12299" max="12299" width="9.6640625" style="9" bestFit="1" customWidth="1"/>
    <col min="12300" max="12546" width="8.6640625" style="9"/>
    <col min="12547" max="12548" width="10.6640625" style="9" customWidth="1"/>
    <col min="12549" max="12549" width="36.6640625" style="9" customWidth="1"/>
    <col min="12550" max="12550" width="35.44140625" style="9" customWidth="1"/>
    <col min="12551" max="12551" width="14.109375" style="9" customWidth="1"/>
    <col min="12552" max="12552" width="16" style="9" customWidth="1"/>
    <col min="12553" max="12553" width="19.33203125" style="9" customWidth="1"/>
    <col min="12554" max="12554" width="15" style="9" customWidth="1"/>
    <col min="12555" max="12555" width="9.6640625" style="9" bestFit="1" customWidth="1"/>
    <col min="12556" max="12802" width="8.6640625" style="9"/>
    <col min="12803" max="12804" width="10.6640625" style="9" customWidth="1"/>
    <col min="12805" max="12805" width="36.6640625" style="9" customWidth="1"/>
    <col min="12806" max="12806" width="35.44140625" style="9" customWidth="1"/>
    <col min="12807" max="12807" width="14.109375" style="9" customWidth="1"/>
    <col min="12808" max="12808" width="16" style="9" customWidth="1"/>
    <col min="12809" max="12809" width="19.33203125" style="9" customWidth="1"/>
    <col min="12810" max="12810" width="15" style="9" customWidth="1"/>
    <col min="12811" max="12811" width="9.6640625" style="9" bestFit="1" customWidth="1"/>
    <col min="12812" max="13058" width="8.6640625" style="9"/>
    <col min="13059" max="13060" width="10.6640625" style="9" customWidth="1"/>
    <col min="13061" max="13061" width="36.6640625" style="9" customWidth="1"/>
    <col min="13062" max="13062" width="35.44140625" style="9" customWidth="1"/>
    <col min="13063" max="13063" width="14.109375" style="9" customWidth="1"/>
    <col min="13064" max="13064" width="16" style="9" customWidth="1"/>
    <col min="13065" max="13065" width="19.33203125" style="9" customWidth="1"/>
    <col min="13066" max="13066" width="15" style="9" customWidth="1"/>
    <col min="13067" max="13067" width="9.6640625" style="9" bestFit="1" customWidth="1"/>
    <col min="13068" max="13314" width="8.6640625" style="9"/>
    <col min="13315" max="13316" width="10.6640625" style="9" customWidth="1"/>
    <col min="13317" max="13317" width="36.6640625" style="9" customWidth="1"/>
    <col min="13318" max="13318" width="35.44140625" style="9" customWidth="1"/>
    <col min="13319" max="13319" width="14.109375" style="9" customWidth="1"/>
    <col min="13320" max="13320" width="16" style="9" customWidth="1"/>
    <col min="13321" max="13321" width="19.33203125" style="9" customWidth="1"/>
    <col min="13322" max="13322" width="15" style="9" customWidth="1"/>
    <col min="13323" max="13323" width="9.6640625" style="9" bestFit="1" customWidth="1"/>
    <col min="13324" max="13570" width="8.6640625" style="9"/>
    <col min="13571" max="13572" width="10.6640625" style="9" customWidth="1"/>
    <col min="13573" max="13573" width="36.6640625" style="9" customWidth="1"/>
    <col min="13574" max="13574" width="35.44140625" style="9" customWidth="1"/>
    <col min="13575" max="13575" width="14.109375" style="9" customWidth="1"/>
    <col min="13576" max="13576" width="16" style="9" customWidth="1"/>
    <col min="13577" max="13577" width="19.33203125" style="9" customWidth="1"/>
    <col min="13578" max="13578" width="15" style="9" customWidth="1"/>
    <col min="13579" max="13579" width="9.6640625" style="9" bestFit="1" customWidth="1"/>
    <col min="13580" max="13826" width="8.6640625" style="9"/>
    <col min="13827" max="13828" width="10.6640625" style="9" customWidth="1"/>
    <col min="13829" max="13829" width="36.6640625" style="9" customWidth="1"/>
    <col min="13830" max="13830" width="35.44140625" style="9" customWidth="1"/>
    <col min="13831" max="13831" width="14.109375" style="9" customWidth="1"/>
    <col min="13832" max="13832" width="16" style="9" customWidth="1"/>
    <col min="13833" max="13833" width="19.33203125" style="9" customWidth="1"/>
    <col min="13834" max="13834" width="15" style="9" customWidth="1"/>
    <col min="13835" max="13835" width="9.6640625" style="9" bestFit="1" customWidth="1"/>
    <col min="13836" max="14082" width="8.6640625" style="9"/>
    <col min="14083" max="14084" width="10.6640625" style="9" customWidth="1"/>
    <col min="14085" max="14085" width="36.6640625" style="9" customWidth="1"/>
    <col min="14086" max="14086" width="35.44140625" style="9" customWidth="1"/>
    <col min="14087" max="14087" width="14.109375" style="9" customWidth="1"/>
    <col min="14088" max="14088" width="16" style="9" customWidth="1"/>
    <col min="14089" max="14089" width="19.33203125" style="9" customWidth="1"/>
    <col min="14090" max="14090" width="15" style="9" customWidth="1"/>
    <col min="14091" max="14091" width="9.6640625" style="9" bestFit="1" customWidth="1"/>
    <col min="14092" max="14338" width="8.6640625" style="9"/>
    <col min="14339" max="14340" width="10.6640625" style="9" customWidth="1"/>
    <col min="14341" max="14341" width="36.6640625" style="9" customWidth="1"/>
    <col min="14342" max="14342" width="35.44140625" style="9" customWidth="1"/>
    <col min="14343" max="14343" width="14.109375" style="9" customWidth="1"/>
    <col min="14344" max="14344" width="16" style="9" customWidth="1"/>
    <col min="14345" max="14345" width="19.33203125" style="9" customWidth="1"/>
    <col min="14346" max="14346" width="15" style="9" customWidth="1"/>
    <col min="14347" max="14347" width="9.6640625" style="9" bestFit="1" customWidth="1"/>
    <col min="14348" max="14594" width="8.6640625" style="9"/>
    <col min="14595" max="14596" width="10.6640625" style="9" customWidth="1"/>
    <col min="14597" max="14597" width="36.6640625" style="9" customWidth="1"/>
    <col min="14598" max="14598" width="35.44140625" style="9" customWidth="1"/>
    <col min="14599" max="14599" width="14.109375" style="9" customWidth="1"/>
    <col min="14600" max="14600" width="16" style="9" customWidth="1"/>
    <col min="14601" max="14601" width="19.33203125" style="9" customWidth="1"/>
    <col min="14602" max="14602" width="15" style="9" customWidth="1"/>
    <col min="14603" max="14603" width="9.6640625" style="9" bestFit="1" customWidth="1"/>
    <col min="14604" max="14850" width="8.6640625" style="9"/>
    <col min="14851" max="14852" width="10.6640625" style="9" customWidth="1"/>
    <col min="14853" max="14853" width="36.6640625" style="9" customWidth="1"/>
    <col min="14854" max="14854" width="35.44140625" style="9" customWidth="1"/>
    <col min="14855" max="14855" width="14.109375" style="9" customWidth="1"/>
    <col min="14856" max="14856" width="16" style="9" customWidth="1"/>
    <col min="14857" max="14857" width="19.33203125" style="9" customWidth="1"/>
    <col min="14858" max="14858" width="15" style="9" customWidth="1"/>
    <col min="14859" max="14859" width="9.6640625" style="9" bestFit="1" customWidth="1"/>
    <col min="14860" max="15106" width="8.6640625" style="9"/>
    <col min="15107" max="15108" width="10.6640625" style="9" customWidth="1"/>
    <col min="15109" max="15109" width="36.6640625" style="9" customWidth="1"/>
    <col min="15110" max="15110" width="35.44140625" style="9" customWidth="1"/>
    <col min="15111" max="15111" width="14.109375" style="9" customWidth="1"/>
    <col min="15112" max="15112" width="16" style="9" customWidth="1"/>
    <col min="15113" max="15113" width="19.33203125" style="9" customWidth="1"/>
    <col min="15114" max="15114" width="15" style="9" customWidth="1"/>
    <col min="15115" max="15115" width="9.6640625" style="9" bestFit="1" customWidth="1"/>
    <col min="15116" max="15362" width="8.6640625" style="9"/>
    <col min="15363" max="15364" width="10.6640625" style="9" customWidth="1"/>
    <col min="15365" max="15365" width="36.6640625" style="9" customWidth="1"/>
    <col min="15366" max="15366" width="35.44140625" style="9" customWidth="1"/>
    <col min="15367" max="15367" width="14.109375" style="9" customWidth="1"/>
    <col min="15368" max="15368" width="16" style="9" customWidth="1"/>
    <col min="15369" max="15369" width="19.33203125" style="9" customWidth="1"/>
    <col min="15370" max="15370" width="15" style="9" customWidth="1"/>
    <col min="15371" max="15371" width="9.6640625" style="9" bestFit="1" customWidth="1"/>
    <col min="15372" max="15618" width="8.6640625" style="9"/>
    <col min="15619" max="15620" width="10.6640625" style="9" customWidth="1"/>
    <col min="15621" max="15621" width="36.6640625" style="9" customWidth="1"/>
    <col min="15622" max="15622" width="35.44140625" style="9" customWidth="1"/>
    <col min="15623" max="15623" width="14.109375" style="9" customWidth="1"/>
    <col min="15624" max="15624" width="16" style="9" customWidth="1"/>
    <col min="15625" max="15625" width="19.33203125" style="9" customWidth="1"/>
    <col min="15626" max="15626" width="15" style="9" customWidth="1"/>
    <col min="15627" max="15627" width="9.6640625" style="9" bestFit="1" customWidth="1"/>
    <col min="15628" max="15874" width="8.6640625" style="9"/>
    <col min="15875" max="15876" width="10.6640625" style="9" customWidth="1"/>
    <col min="15877" max="15877" width="36.6640625" style="9" customWidth="1"/>
    <col min="15878" max="15878" width="35.44140625" style="9" customWidth="1"/>
    <col min="15879" max="15879" width="14.109375" style="9" customWidth="1"/>
    <col min="15880" max="15880" width="16" style="9" customWidth="1"/>
    <col min="15881" max="15881" width="19.33203125" style="9" customWidth="1"/>
    <col min="15882" max="15882" width="15" style="9" customWidth="1"/>
    <col min="15883" max="15883" width="9.6640625" style="9" bestFit="1" customWidth="1"/>
    <col min="15884" max="16130" width="8.6640625" style="9"/>
    <col min="16131" max="16132" width="10.6640625" style="9" customWidth="1"/>
    <col min="16133" max="16133" width="36.6640625" style="9" customWidth="1"/>
    <col min="16134" max="16134" width="35.44140625" style="9" customWidth="1"/>
    <col min="16135" max="16135" width="14.109375" style="9" customWidth="1"/>
    <col min="16136" max="16136" width="16" style="9" customWidth="1"/>
    <col min="16137" max="16137" width="19.33203125" style="9" customWidth="1"/>
    <col min="16138" max="16138" width="15" style="9" customWidth="1"/>
    <col min="16139" max="16139" width="9.6640625" style="9" bestFit="1" customWidth="1"/>
    <col min="16140" max="16384" width="8.6640625" style="9"/>
  </cols>
  <sheetData>
    <row r="1" spans="1:12" ht="16.2" thickBot="1">
      <c r="A1" s="505" t="s">
        <v>468</v>
      </c>
      <c r="B1" s="506"/>
      <c r="C1" s="506"/>
      <c r="D1" s="506"/>
      <c r="E1" s="506"/>
      <c r="F1" s="506"/>
      <c r="G1" s="507"/>
      <c r="H1" s="507"/>
      <c r="I1" s="508"/>
    </row>
    <row r="2" spans="1:12" ht="78.75" customHeight="1" thickBot="1">
      <c r="A2" s="509" t="s">
        <v>464</v>
      </c>
      <c r="B2" s="510"/>
      <c r="C2" s="511" t="str">
        <f>Resumo!E12&amp;CHAR(10)&amp;Resumo!E13</f>
        <v>BR-364/365/GO/MG (Ecovias do Cerrado)
BR-080/153/414/GO/TO (ECO 153)</v>
      </c>
      <c r="D2" s="512"/>
      <c r="E2" s="513"/>
      <c r="F2" s="514" t="s">
        <v>471</v>
      </c>
      <c r="G2" s="515"/>
      <c r="H2" s="515"/>
      <c r="I2" s="516"/>
      <c r="L2" s="11"/>
    </row>
    <row r="3" spans="1:12" ht="16.2" thickBot="1">
      <c r="A3" s="520" t="s">
        <v>11</v>
      </c>
      <c r="B3" s="521"/>
      <c r="C3" s="522">
        <f>SUM(Resumo!G12:G13)</f>
        <v>1287.7</v>
      </c>
      <c r="D3" s="522"/>
      <c r="E3" s="523"/>
      <c r="F3" s="517"/>
      <c r="G3" s="518"/>
      <c r="H3" s="518"/>
      <c r="I3" s="519"/>
      <c r="J3" s="12"/>
      <c r="L3" s="13"/>
    </row>
    <row r="4" spans="1:12">
      <c r="A4" s="14"/>
      <c r="B4" s="14"/>
      <c r="C4" s="15"/>
      <c r="D4" s="16"/>
      <c r="E4" s="14"/>
      <c r="F4" s="14"/>
      <c r="G4" s="14"/>
      <c r="H4" s="14"/>
      <c r="I4" s="14"/>
    </row>
    <row r="5" spans="1:12" ht="15" thickBot="1">
      <c r="A5" s="17"/>
      <c r="B5" s="17"/>
      <c r="C5" s="17"/>
      <c r="D5" s="18"/>
      <c r="E5" s="17"/>
      <c r="F5" s="17"/>
      <c r="G5" s="17"/>
      <c r="H5" s="17"/>
      <c r="I5" s="17"/>
      <c r="J5" s="19"/>
      <c r="L5" s="20"/>
    </row>
    <row r="6" spans="1:12" ht="31.5" customHeight="1">
      <c r="A6" s="134" t="s">
        <v>12</v>
      </c>
      <c r="B6" s="135" t="s">
        <v>13</v>
      </c>
      <c r="C6" s="136" t="s">
        <v>14</v>
      </c>
      <c r="D6" s="136" t="s">
        <v>15</v>
      </c>
      <c r="E6" s="137" t="s">
        <v>16</v>
      </c>
      <c r="F6" s="137" t="s">
        <v>17</v>
      </c>
      <c r="G6" s="262" t="s">
        <v>255</v>
      </c>
      <c r="H6" s="262" t="s">
        <v>254</v>
      </c>
      <c r="I6" s="138" t="s">
        <v>18</v>
      </c>
      <c r="J6" s="21"/>
      <c r="K6" s="151"/>
      <c r="L6" s="22"/>
    </row>
    <row r="7" spans="1:12">
      <c r="A7" s="23"/>
      <c r="B7" s="24"/>
      <c r="C7" s="25" t="s">
        <v>19</v>
      </c>
      <c r="D7" s="26"/>
      <c r="E7" s="25"/>
      <c r="F7" s="25"/>
      <c r="G7" s="277"/>
      <c r="H7" s="290">
        <f>H9+H26+H29+H33+H36+H43+H12+H19+H22+H40</f>
        <v>27036.858649999998</v>
      </c>
      <c r="I7" s="27">
        <f>I9+I26+I29+I33+I36+I43+I12+I19+I22+I40</f>
        <v>119497.09036265001</v>
      </c>
      <c r="J7" s="21"/>
      <c r="L7" s="28"/>
    </row>
    <row r="8" spans="1:12">
      <c r="A8" s="23"/>
      <c r="B8" s="24">
        <v>1</v>
      </c>
      <c r="C8" s="165" t="s">
        <v>20</v>
      </c>
      <c r="D8" s="113"/>
      <c r="E8" s="29"/>
      <c r="F8" s="30"/>
      <c r="G8" s="278"/>
      <c r="H8" s="290"/>
      <c r="I8" s="166"/>
      <c r="L8" s="31"/>
    </row>
    <row r="9" spans="1:12">
      <c r="A9" s="23"/>
      <c r="B9" s="24" t="s">
        <v>21</v>
      </c>
      <c r="C9" s="165" t="s">
        <v>22</v>
      </c>
      <c r="D9" s="113"/>
      <c r="E9" s="29"/>
      <c r="F9" s="30"/>
      <c r="G9" s="278"/>
      <c r="H9" s="290">
        <f>H10</f>
        <v>698.04808899999989</v>
      </c>
      <c r="I9" s="166">
        <f>I10</f>
        <v>829.82416666666654</v>
      </c>
      <c r="L9" s="31"/>
    </row>
    <row r="10" spans="1:12">
      <c r="A10" s="32" t="s">
        <v>641</v>
      </c>
      <c r="B10" s="33" t="s">
        <v>24</v>
      </c>
      <c r="C10" s="167" t="str">
        <f>VLOOKUP(A10,'Planilha base'!$C$11:$K$35,9,FALSE)</f>
        <v>Engenheiro consultor especial</v>
      </c>
      <c r="D10" s="36" t="s">
        <v>25</v>
      </c>
      <c r="E10" s="29">
        <f>1/24</f>
        <v>4.1666666666666664E-2</v>
      </c>
      <c r="F10" s="43">
        <f>VLOOKUP(A10,'Planilha base'!$C$11:$K$35,6,FALSE)</f>
        <v>19915.78</v>
      </c>
      <c r="G10" s="205">
        <f>VLOOKUP(A10,'Planilha base'!$C$11:$K$35,4,FALSE)</f>
        <v>0.84119999999999995</v>
      </c>
      <c r="H10" s="287">
        <f>E10*F10*G10</f>
        <v>698.04808899999989</v>
      </c>
      <c r="I10" s="168">
        <f>E10*F10</f>
        <v>829.82416666666654</v>
      </c>
      <c r="K10" s="152"/>
      <c r="L10" s="31"/>
    </row>
    <row r="11" spans="1:12">
      <c r="A11" s="23"/>
      <c r="B11" s="24"/>
      <c r="C11" s="165"/>
      <c r="D11" s="113"/>
      <c r="E11" s="29"/>
      <c r="F11" s="30"/>
      <c r="G11" s="278"/>
      <c r="H11" s="290"/>
      <c r="I11" s="166"/>
      <c r="L11" s="31"/>
    </row>
    <row r="12" spans="1:12">
      <c r="A12" s="23"/>
      <c r="B12" s="24" t="s">
        <v>26</v>
      </c>
      <c r="C12" s="35" t="s">
        <v>27</v>
      </c>
      <c r="D12" s="36"/>
      <c r="E12" s="29"/>
      <c r="F12" s="169"/>
      <c r="G12" s="255"/>
      <c r="H12" s="290">
        <f>SUM(H13:H17)</f>
        <v>17771.598026</v>
      </c>
      <c r="I12" s="170">
        <f>SUM(I13:I17)</f>
        <v>20133.86</v>
      </c>
      <c r="L12" s="31"/>
    </row>
    <row r="13" spans="1:12">
      <c r="A13" s="32" t="s">
        <v>643</v>
      </c>
      <c r="B13" s="33" t="s">
        <v>29</v>
      </c>
      <c r="C13" s="167" t="str">
        <f>VLOOKUP(A13,'Planilha base'!$C$11:$K$35,9,FALSE)</f>
        <v>Engenheiro coordenador</v>
      </c>
      <c r="D13" s="36" t="s">
        <v>30</v>
      </c>
      <c r="E13" s="29">
        <v>1</v>
      </c>
      <c r="F13" s="43">
        <f>VLOOKUP(A13,'Planilha base'!$C$11:$K$35,6,FALSE)</f>
        <v>16596.48</v>
      </c>
      <c r="G13" s="205">
        <f>VLOOKUP(A13,'Planilha base'!$C$11:$K$35,4,FALSE)</f>
        <v>0.8498</v>
      </c>
      <c r="H13" s="287">
        <f>E13*F13*G13</f>
        <v>14103.688704</v>
      </c>
      <c r="I13" s="168">
        <f>E13*F13</f>
        <v>16596.48</v>
      </c>
      <c r="K13" s="152"/>
      <c r="L13" s="31"/>
    </row>
    <row r="14" spans="1:12">
      <c r="A14" s="32" t="s">
        <v>655</v>
      </c>
      <c r="B14" s="33" t="s">
        <v>32</v>
      </c>
      <c r="C14" s="167" t="str">
        <f>VLOOKUP(A14,'Planilha base'!$C$11:$K$35,9,FALSE)</f>
        <v>Engenheiro de projetos sênior</v>
      </c>
      <c r="D14" s="36" t="s">
        <v>30</v>
      </c>
      <c r="E14" s="29">
        <v>0</v>
      </c>
      <c r="F14" s="43">
        <f>VLOOKUP(A14,'Planilha base'!$C$11:$K$35,6,FALSE)</f>
        <v>13887.45</v>
      </c>
      <c r="G14" s="205">
        <f>VLOOKUP(A14,'Planilha base'!$C$11:$K$35,4,FALSE)</f>
        <v>0.86</v>
      </c>
      <c r="H14" s="287">
        <f t="shared" ref="H14:H17" si="0">E14*F14*G14</f>
        <v>0</v>
      </c>
      <c r="I14" s="168">
        <f t="shared" ref="I14:I17" si="1">E14*F14</f>
        <v>0</v>
      </c>
      <c r="K14" s="152"/>
      <c r="L14" s="31"/>
    </row>
    <row r="15" spans="1:12">
      <c r="A15" s="32" t="s">
        <v>653</v>
      </c>
      <c r="B15" s="33" t="s">
        <v>34</v>
      </c>
      <c r="C15" s="167" t="str">
        <f>VLOOKUP(A15,'Planilha base'!$C$11:$K$35,9,FALSE)</f>
        <v>Engenheiro de projetos pleno</v>
      </c>
      <c r="D15" s="36" t="s">
        <v>30</v>
      </c>
      <c r="E15" s="29">
        <v>0</v>
      </c>
      <c r="F15" s="43">
        <f>VLOOKUP(A15,'Planilha base'!$C$11:$K$35,6,FALSE)</f>
        <v>10528.02</v>
      </c>
      <c r="G15" s="205">
        <f>VLOOKUP(A15,'Planilha base'!$C$11:$K$35,4,FALSE)</f>
        <v>0.87970000000000004</v>
      </c>
      <c r="H15" s="287">
        <f t="shared" si="0"/>
        <v>0</v>
      </c>
      <c r="I15" s="168">
        <f t="shared" si="1"/>
        <v>0</v>
      </c>
      <c r="K15" s="152"/>
      <c r="L15" s="31"/>
    </row>
    <row r="16" spans="1:12">
      <c r="A16" s="32" t="s">
        <v>651</v>
      </c>
      <c r="B16" s="33" t="s">
        <v>36</v>
      </c>
      <c r="C16" s="167" t="str">
        <f>VLOOKUP(A16,'Planilha base'!$C$11:$K$35,9,FALSE)</f>
        <v>Engenheiro de projetos júnior</v>
      </c>
      <c r="D16" s="36" t="s">
        <v>30</v>
      </c>
      <c r="E16" s="29">
        <v>0</v>
      </c>
      <c r="F16" s="43">
        <f>VLOOKUP(A16,'Planilha base'!$C$11:$K$35,6,FALSE)</f>
        <v>9350</v>
      </c>
      <c r="G16" s="205">
        <f>VLOOKUP(A16,'Planilha base'!$C$11:$K$35,4,FALSE)</f>
        <v>0.89</v>
      </c>
      <c r="H16" s="287">
        <f t="shared" si="0"/>
        <v>0</v>
      </c>
      <c r="I16" s="168">
        <f t="shared" si="1"/>
        <v>0</v>
      </c>
      <c r="K16" s="152"/>
      <c r="L16" s="31"/>
    </row>
    <row r="17" spans="1:13">
      <c r="A17" s="32" t="s">
        <v>607</v>
      </c>
      <c r="B17" s="33" t="s">
        <v>37</v>
      </c>
      <c r="C17" s="167" t="str">
        <f>VLOOKUP(A17,'Planilha base'!$C$11:$K$35,9,FALSE)</f>
        <v>Chefe de escritório</v>
      </c>
      <c r="D17" s="36" t="s">
        <v>30</v>
      </c>
      <c r="E17" s="29">
        <v>1</v>
      </c>
      <c r="F17" s="43">
        <f>VLOOKUP(A17,'Planilha base'!$C$11:$K$35,6,FALSE)</f>
        <v>3537.38</v>
      </c>
      <c r="G17" s="205">
        <f>VLOOKUP(A17,'Planilha base'!$C$11:$K$35,4,FALSE)</f>
        <v>1.0368999999999999</v>
      </c>
      <c r="H17" s="287">
        <f t="shared" si="0"/>
        <v>3667.909322</v>
      </c>
      <c r="I17" s="168">
        <f t="shared" si="1"/>
        <v>3537.38</v>
      </c>
      <c r="K17" s="152"/>
      <c r="L17" s="31"/>
    </row>
    <row r="18" spans="1:13">
      <c r="A18" s="32"/>
      <c r="B18" s="33"/>
      <c r="C18" s="37"/>
      <c r="D18" s="36"/>
      <c r="E18" s="29"/>
      <c r="F18" s="171"/>
      <c r="G18" s="279"/>
      <c r="H18" s="291"/>
      <c r="I18" s="168"/>
      <c r="L18" s="31"/>
    </row>
    <row r="19" spans="1:13">
      <c r="A19" s="23"/>
      <c r="B19" s="24" t="s">
        <v>38</v>
      </c>
      <c r="C19" s="35" t="s">
        <v>39</v>
      </c>
      <c r="D19" s="36"/>
      <c r="E19" s="29"/>
      <c r="F19" s="171"/>
      <c r="G19" s="279"/>
      <c r="H19" s="292">
        <f>SUM(H20:H20)</f>
        <v>0</v>
      </c>
      <c r="I19" s="170">
        <f>SUM(I20:I20)</f>
        <v>0</v>
      </c>
      <c r="L19" s="31"/>
    </row>
    <row r="20" spans="1:13">
      <c r="A20" s="32" t="s">
        <v>719</v>
      </c>
      <c r="B20" s="33" t="s">
        <v>40</v>
      </c>
      <c r="C20" s="167" t="str">
        <f>VLOOKUP(A20,'Planilha base'!$C$11:$K$35,9,FALSE)</f>
        <v>Técnico de obras</v>
      </c>
      <c r="D20" s="36" t="s">
        <v>30</v>
      </c>
      <c r="E20" s="29">
        <v>0</v>
      </c>
      <c r="F20" s="43">
        <f>VLOOKUP(A20,'Planilha base'!$C$11:$K$35,6,FALSE)</f>
        <v>2436.42</v>
      </c>
      <c r="G20" s="205">
        <f>VLOOKUP(A20,'Planilha base'!$C$11:$K$35,4,FALSE)</f>
        <v>1.0971</v>
      </c>
      <c r="H20" s="287">
        <f t="shared" ref="H20" si="2">E20*F20*G20</f>
        <v>0</v>
      </c>
      <c r="I20" s="168">
        <f>E20*F20</f>
        <v>0</v>
      </c>
      <c r="K20" s="152"/>
      <c r="L20" s="31"/>
    </row>
    <row r="21" spans="1:13">
      <c r="A21" s="32"/>
      <c r="B21" s="33"/>
      <c r="C21" s="37"/>
      <c r="D21" s="36"/>
      <c r="E21" s="29"/>
      <c r="F21" s="171"/>
      <c r="G21" s="279"/>
      <c r="H21" s="291"/>
      <c r="I21" s="168"/>
      <c r="L21" s="31"/>
    </row>
    <row r="22" spans="1:13">
      <c r="A22" s="32"/>
      <c r="B22" s="24" t="s">
        <v>43</v>
      </c>
      <c r="C22" s="35" t="s">
        <v>44</v>
      </c>
      <c r="D22" s="36"/>
      <c r="E22" s="29"/>
      <c r="F22" s="171"/>
      <c r="G22" s="279"/>
      <c r="H22" s="292">
        <f>SUM(H23:H24)</f>
        <v>8567.2125349999988</v>
      </c>
      <c r="I22" s="170">
        <f>SUM(I23:I24)</f>
        <v>6898.22</v>
      </c>
      <c r="L22" s="31"/>
    </row>
    <row r="23" spans="1:13">
      <c r="A23" s="32" t="s">
        <v>713</v>
      </c>
      <c r="B23" s="33" t="s">
        <v>46</v>
      </c>
      <c r="C23" s="167" t="str">
        <f>VLOOKUP(A23,'Planilha base'!$C$11:$K$35,9,FALSE)</f>
        <v>Secretária</v>
      </c>
      <c r="D23" s="36" t="s">
        <v>30</v>
      </c>
      <c r="E23" s="29">
        <v>1</v>
      </c>
      <c r="F23" s="43">
        <f>VLOOKUP(A23,'Planilha base'!$C$11:$K$35,6,FALSE)</f>
        <v>5326.83</v>
      </c>
      <c r="G23" s="205">
        <f>VLOOKUP(A23,'Planilha base'!$C$11:$K$35,4,FALSE)</f>
        <v>1.1964999999999999</v>
      </c>
      <c r="H23" s="287">
        <f t="shared" ref="H23:H24" si="3">E23*F23*G23</f>
        <v>6373.5520949999991</v>
      </c>
      <c r="I23" s="168">
        <f>E23*F23</f>
        <v>5326.83</v>
      </c>
      <c r="K23" s="152"/>
      <c r="L23" s="31"/>
    </row>
    <row r="24" spans="1:13">
      <c r="A24" s="32" t="s">
        <v>595</v>
      </c>
      <c r="B24" s="33" t="s">
        <v>49</v>
      </c>
      <c r="C24" s="167" t="str">
        <f>VLOOKUP(A24,'Planilha base'!$C$11:$K$35,9,FALSE)</f>
        <v>Auxiliar administrativo</v>
      </c>
      <c r="D24" s="36" t="s">
        <v>30</v>
      </c>
      <c r="E24" s="29">
        <v>1</v>
      </c>
      <c r="F24" s="43">
        <f>VLOOKUP(A24,'Planilha base'!$C$11:$K$35,6,FALSE)</f>
        <v>1571.39</v>
      </c>
      <c r="G24" s="205">
        <f>VLOOKUP(A24,'Planilha base'!$C$11:$K$35,4,FALSE)</f>
        <v>1.3959999999999999</v>
      </c>
      <c r="H24" s="287">
        <f t="shared" si="3"/>
        <v>2193.6604400000001</v>
      </c>
      <c r="I24" s="168">
        <f>E24*F24</f>
        <v>1571.39</v>
      </c>
      <c r="K24" s="152"/>
      <c r="L24" s="31"/>
    </row>
    <row r="25" spans="1:13">
      <c r="A25" s="32"/>
      <c r="B25" s="33"/>
      <c r="C25" s="172"/>
      <c r="D25" s="172"/>
      <c r="E25" s="29"/>
      <c r="F25" s="173"/>
      <c r="G25" s="280"/>
      <c r="H25" s="288"/>
      <c r="I25" s="170"/>
      <c r="L25" s="31"/>
    </row>
    <row r="26" spans="1:13">
      <c r="A26" s="23"/>
      <c r="B26" s="24">
        <v>2</v>
      </c>
      <c r="C26" s="35" t="s">
        <v>334</v>
      </c>
      <c r="D26" s="39"/>
      <c r="E26" s="29"/>
      <c r="F26" s="115"/>
      <c r="G26" s="281"/>
      <c r="H26" s="288">
        <f>H27</f>
        <v>0</v>
      </c>
      <c r="I26" s="170">
        <f>I27</f>
        <v>11623.377771233334</v>
      </c>
      <c r="L26" s="31"/>
    </row>
    <row r="27" spans="1:13">
      <c r="A27" s="32"/>
      <c r="B27" s="33" t="s">
        <v>51</v>
      </c>
      <c r="C27" s="37" t="s">
        <v>334</v>
      </c>
      <c r="D27" s="38" t="s">
        <v>52</v>
      </c>
      <c r="E27" s="29">
        <f>(I22+I19+I12+I9)+(H9+H12+H19+H22)+I29+I33+I36+I40</f>
        <v>101780.89116666667</v>
      </c>
      <c r="F27" s="115">
        <f>'Planilha base'!H39</f>
        <v>0.1142</v>
      </c>
      <c r="G27" s="281"/>
      <c r="H27" s="287"/>
      <c r="I27" s="168">
        <f>E27*F27</f>
        <v>11623.377771233334</v>
      </c>
      <c r="L27" s="31"/>
    </row>
    <row r="28" spans="1:13">
      <c r="A28" s="23"/>
      <c r="B28" s="24"/>
      <c r="C28" s="35"/>
      <c r="D28" s="38"/>
      <c r="E28" s="29"/>
      <c r="F28" s="174"/>
      <c r="G28" s="282"/>
      <c r="H28" s="287"/>
      <c r="I28" s="170"/>
      <c r="L28" s="31"/>
    </row>
    <row r="29" spans="1:13" s="41" customFormat="1">
      <c r="A29" s="23"/>
      <c r="B29" s="24">
        <v>3</v>
      </c>
      <c r="C29" s="35" t="s">
        <v>55</v>
      </c>
      <c r="D29" s="39"/>
      <c r="E29" s="40"/>
      <c r="F29" s="175"/>
      <c r="G29" s="283"/>
      <c r="H29" s="288">
        <f>SUM(H30:H31)</f>
        <v>0</v>
      </c>
      <c r="I29" s="170">
        <f>SUM(I30:I31)</f>
        <v>5401.4795999999997</v>
      </c>
      <c r="K29" s="153"/>
      <c r="L29" s="31"/>
      <c r="M29" s="42"/>
    </row>
    <row r="30" spans="1:13">
      <c r="A30" s="32" t="s">
        <v>742</v>
      </c>
      <c r="B30" s="33" t="s">
        <v>54</v>
      </c>
      <c r="C30" s="167" t="str">
        <f>VLOOKUP(A30,'Planilha base'!$C$11:$K$35,9,FALSE)</f>
        <v>Veículo leve - tipo hatch - (sem motorista)</v>
      </c>
      <c r="D30" s="36" t="s">
        <v>57</v>
      </c>
      <c r="E30" s="29">
        <v>2</v>
      </c>
      <c r="F30" s="43">
        <f>VLOOKUP(A30,'Planilha base'!$C$11:$K$35,6,FALSE)</f>
        <v>2700.7397999999998</v>
      </c>
      <c r="G30" s="284"/>
      <c r="H30" s="287"/>
      <c r="I30" s="168">
        <f>E30*F30</f>
        <v>5401.4795999999997</v>
      </c>
      <c r="K30" s="152"/>
      <c r="L30" s="31"/>
    </row>
    <row r="31" spans="1:13">
      <c r="A31" s="32" t="s">
        <v>743</v>
      </c>
      <c r="B31" s="33" t="s">
        <v>262</v>
      </c>
      <c r="C31" s="167" t="str">
        <f>VLOOKUP(A31,'Planilha base'!$C$11:$K$35,9,FALSE)</f>
        <v>Veículo leve - tipo pick up 4 x 4 - (sem motorista)</v>
      </c>
      <c r="D31" s="36" t="s">
        <v>57</v>
      </c>
      <c r="E31" s="29"/>
      <c r="F31" s="43">
        <f>VLOOKUP(A31,'Planilha base'!$C$11:$K$35,6,FALSE)</f>
        <v>6719.6316000000006</v>
      </c>
      <c r="G31" s="284"/>
      <c r="H31" s="287"/>
      <c r="I31" s="168">
        <f>E31*F31</f>
        <v>0</v>
      </c>
      <c r="K31" s="152"/>
      <c r="L31" s="31"/>
    </row>
    <row r="32" spans="1:13">
      <c r="A32" s="32"/>
      <c r="B32" s="33"/>
      <c r="C32" s="176"/>
      <c r="D32" s="38"/>
      <c r="E32" s="29"/>
      <c r="F32" s="43"/>
      <c r="G32" s="284"/>
      <c r="H32" s="287"/>
      <c r="I32" s="170"/>
      <c r="L32" s="31"/>
    </row>
    <row r="33" spans="1:12">
      <c r="A33" s="23"/>
      <c r="B33" s="24">
        <v>4</v>
      </c>
      <c r="C33" s="35" t="s">
        <v>252</v>
      </c>
      <c r="D33" s="39"/>
      <c r="E33" s="39"/>
      <c r="F33" s="44"/>
      <c r="G33" s="285"/>
      <c r="H33" s="288">
        <f>H34</f>
        <v>0</v>
      </c>
      <c r="I33" s="170">
        <f>I34</f>
        <v>1992</v>
      </c>
      <c r="K33" s="154"/>
      <c r="L33" s="31"/>
    </row>
    <row r="34" spans="1:12">
      <c r="A34" s="32" t="s">
        <v>744</v>
      </c>
      <c r="B34" s="33" t="s">
        <v>56</v>
      </c>
      <c r="C34" s="167" t="str">
        <f>VLOOKUP(A34,'Planilha base'!$C$11:$K$35,9,FALSE)</f>
        <v>Custos Diversos Escritório</v>
      </c>
      <c r="D34" s="36" t="s">
        <v>253</v>
      </c>
      <c r="E34" s="29">
        <f>ROUNDUP((((SUM($I$54:$I$58)/SUM($E$54:$E$58))+$F$59)/'Planilha base'!$H$38)+$E$13+$E$17+$E$23+$E$24,0)</f>
        <v>16</v>
      </c>
      <c r="F34" s="43">
        <f>VLOOKUP(A34,'Planilha base'!$C$11:$K$35,6,FALSE)</f>
        <v>124.5</v>
      </c>
      <c r="G34" s="284"/>
      <c r="H34" s="287"/>
      <c r="I34" s="168">
        <f>E34*F34</f>
        <v>1992</v>
      </c>
      <c r="K34" s="154"/>
      <c r="L34" s="31"/>
    </row>
    <row r="35" spans="1:12">
      <c r="A35" s="32"/>
      <c r="B35" s="33"/>
      <c r="C35" s="37"/>
      <c r="D35" s="38"/>
      <c r="E35" s="47"/>
      <c r="F35" s="43"/>
      <c r="G35" s="284"/>
      <c r="H35" s="287"/>
      <c r="I35" s="170"/>
      <c r="L35" s="31"/>
    </row>
    <row r="36" spans="1:12">
      <c r="A36" s="23"/>
      <c r="B36" s="24">
        <v>5</v>
      </c>
      <c r="C36" s="30" t="s">
        <v>59</v>
      </c>
      <c r="D36" s="39"/>
      <c r="E36" s="39"/>
      <c r="F36" s="44"/>
      <c r="G36" s="285"/>
      <c r="H36" s="288">
        <f>SUM(H37:H38)</f>
        <v>0</v>
      </c>
      <c r="I36" s="170">
        <f>SUM(I37:I38)</f>
        <v>12509.64875</v>
      </c>
      <c r="L36" s="31"/>
    </row>
    <row r="37" spans="1:12">
      <c r="A37" s="32" t="s">
        <v>745</v>
      </c>
      <c r="B37" s="33" t="s">
        <v>263</v>
      </c>
      <c r="C37" s="167" t="str">
        <f>VLOOKUP(A37,'Planilha base'!$C$11:$K$35,9,FALSE)</f>
        <v>Imóvel Comercial (2,32% do C.M.C.C - SINAPI)</v>
      </c>
      <c r="D37" s="36" t="s">
        <v>253</v>
      </c>
      <c r="E37" s="29">
        <f>ROUNDUP((((SUM($I$54:$I$58)/SUM($E$54:$E$58))+$F$59)/'Planilha base'!$H$38)+$E$13+$E$17+$E$23+$E$24,0)</f>
        <v>16</v>
      </c>
      <c r="F37" s="43">
        <f>VLOOKUP(A37,'Planilha base'!$C$11:$K$35,6,FALSE)</f>
        <v>40.049999999999997</v>
      </c>
      <c r="G37" s="284"/>
      <c r="H37" s="287"/>
      <c r="I37" s="168">
        <f>((57.95/2)+(4.5*E37))*F37</f>
        <v>4044.0487499999995</v>
      </c>
      <c r="K37" s="152"/>
      <c r="L37" s="31"/>
    </row>
    <row r="38" spans="1:12">
      <c r="A38" s="32" t="s">
        <v>746</v>
      </c>
      <c r="B38" s="33" t="s">
        <v>264</v>
      </c>
      <c r="C38" s="167" t="str">
        <f>VLOOKUP(A38,'Planilha base'!$C$11:$K$35,9,FALSE)</f>
        <v>Mobiliário Escritório</v>
      </c>
      <c r="D38" s="36" t="s">
        <v>253</v>
      </c>
      <c r="E38" s="29">
        <f>ROUNDUP((((SUM($I$54:$I$58)/SUM($E$54:$E$58))+$F$59)/'Planilha base'!$H$38)+$E$13+$E$17+$E$23+$E$24,0)</f>
        <v>16</v>
      </c>
      <c r="F38" s="43">
        <f>VLOOKUP(A38,'Planilha base'!$C$11:$K$35,6,FALSE)</f>
        <v>529.1</v>
      </c>
      <c r="G38" s="284"/>
      <c r="H38" s="287"/>
      <c r="I38" s="168">
        <f>E38*F38</f>
        <v>8465.6</v>
      </c>
      <c r="K38" s="152"/>
      <c r="L38" s="31"/>
    </row>
    <row r="39" spans="1:12">
      <c r="A39" s="32"/>
      <c r="B39" s="33"/>
      <c r="C39" s="37"/>
      <c r="D39" s="38"/>
      <c r="E39" s="47"/>
      <c r="F39" s="43"/>
      <c r="G39" s="284"/>
      <c r="H39" s="287"/>
      <c r="I39" s="170"/>
      <c r="K39" s="152"/>
    </row>
    <row r="40" spans="1:12">
      <c r="A40" s="32"/>
      <c r="B40" s="24">
        <v>6</v>
      </c>
      <c r="C40" s="35" t="s">
        <v>63</v>
      </c>
      <c r="D40" s="38"/>
      <c r="E40" s="47"/>
      <c r="F40" s="43"/>
      <c r="G40" s="284"/>
      <c r="H40" s="288">
        <f>SUM(H41:H41)</f>
        <v>0</v>
      </c>
      <c r="I40" s="170">
        <f>SUM(I41:I41)</f>
        <v>26979</v>
      </c>
      <c r="K40" s="152"/>
    </row>
    <row r="41" spans="1:12">
      <c r="A41" s="32"/>
      <c r="B41" s="33" t="s">
        <v>58</v>
      </c>
      <c r="C41" s="37" t="s">
        <v>64</v>
      </c>
      <c r="D41" s="38" t="s">
        <v>65</v>
      </c>
      <c r="E41" s="47">
        <f>Diárias!D14</f>
        <v>120</v>
      </c>
      <c r="F41" s="43">
        <f>'Planilha base'!H53</f>
        <v>224.82499999999999</v>
      </c>
      <c r="G41" s="284"/>
      <c r="H41" s="287"/>
      <c r="I41" s="168">
        <f>E41*F41</f>
        <v>26979</v>
      </c>
      <c r="K41" s="152"/>
    </row>
    <row r="42" spans="1:12">
      <c r="A42" s="32"/>
      <c r="B42" s="33"/>
      <c r="C42" s="37"/>
      <c r="D42" s="38"/>
      <c r="E42" s="47"/>
      <c r="F42" s="43"/>
      <c r="G42" s="284"/>
      <c r="H42" s="287"/>
      <c r="I42" s="170"/>
      <c r="L42" s="31"/>
    </row>
    <row r="43" spans="1:12">
      <c r="A43" s="23"/>
      <c r="B43" s="24">
        <v>7</v>
      </c>
      <c r="C43" s="35" t="s">
        <v>66</v>
      </c>
      <c r="D43" s="39"/>
      <c r="E43" s="39"/>
      <c r="F43" s="49"/>
      <c r="G43" s="286"/>
      <c r="H43" s="288">
        <f>SUM(H44:H45)</f>
        <v>0</v>
      </c>
      <c r="I43" s="170">
        <f>SUM(I44:I45)</f>
        <v>33129.680074750002</v>
      </c>
      <c r="L43" s="31"/>
    </row>
    <row r="44" spans="1:12">
      <c r="A44" s="32"/>
      <c r="B44" s="33" t="s">
        <v>60</v>
      </c>
      <c r="C44" s="37" t="s">
        <v>67</v>
      </c>
      <c r="D44" s="47" t="s">
        <v>52</v>
      </c>
      <c r="E44" s="29">
        <f>(I22+I19+I12+I9)+(H9+H12+H19+H22)+I29+I33+I36+I40</f>
        <v>101780.89116666667</v>
      </c>
      <c r="F44" s="115">
        <f>'Planilha base'!H40</f>
        <v>0.12</v>
      </c>
      <c r="G44" s="281"/>
      <c r="H44" s="287"/>
      <c r="I44" s="168">
        <f>E44*F44</f>
        <v>12213.70694</v>
      </c>
      <c r="L44" s="31"/>
    </row>
    <row r="45" spans="1:12">
      <c r="A45" s="32"/>
      <c r="B45" s="33" t="s">
        <v>62</v>
      </c>
      <c r="C45" s="37" t="s">
        <v>68</v>
      </c>
      <c r="D45" s="47" t="s">
        <v>52</v>
      </c>
      <c r="E45" s="29">
        <f>(I22+I19+I12+I9)+(H9+H12+H19+H22)+I29+I33+I36+I40</f>
        <v>101780.89116666667</v>
      </c>
      <c r="F45" s="115">
        <f>'Planilha base'!H41</f>
        <v>0.20550000000000002</v>
      </c>
      <c r="G45" s="281"/>
      <c r="H45" s="287"/>
      <c r="I45" s="168">
        <f>E45*F45</f>
        <v>20915.973134750002</v>
      </c>
      <c r="L45" s="31"/>
    </row>
    <row r="46" spans="1:12">
      <c r="A46" s="32"/>
      <c r="B46" s="33"/>
      <c r="C46" s="46"/>
      <c r="D46" s="47"/>
      <c r="E46" s="47"/>
      <c r="F46" s="47"/>
      <c r="G46" s="255"/>
      <c r="H46" s="289"/>
      <c r="I46" s="34"/>
      <c r="L46" s="31"/>
    </row>
    <row r="47" spans="1:12" ht="15" thickBot="1">
      <c r="A47" s="50"/>
      <c r="B47" s="51"/>
      <c r="C47" s="524" t="s">
        <v>69</v>
      </c>
      <c r="D47" s="524"/>
      <c r="E47" s="524"/>
      <c r="F47" s="524"/>
      <c r="G47" s="256"/>
      <c r="H47" s="256"/>
      <c r="I47" s="52">
        <f>I7+H7</f>
        <v>146533.94901265</v>
      </c>
      <c r="J47" s="53"/>
      <c r="K47" s="155"/>
      <c r="L47" s="31"/>
    </row>
    <row r="48" spans="1:12" ht="15" thickBot="1">
      <c r="A48" s="50"/>
      <c r="B48" s="51"/>
      <c r="C48" s="524" t="s">
        <v>70</v>
      </c>
      <c r="D48" s="524"/>
      <c r="E48" s="524"/>
      <c r="F48" s="524"/>
      <c r="G48" s="256"/>
      <c r="H48" s="256"/>
      <c r="I48" s="52">
        <f>I47*12</f>
        <v>1758407.3881518</v>
      </c>
      <c r="J48" s="54"/>
      <c r="K48" s="156"/>
      <c r="L48" s="31"/>
    </row>
    <row r="49" spans="1:12">
      <c r="A49" s="55"/>
      <c r="B49" s="55"/>
      <c r="C49" s="55"/>
      <c r="D49" s="56"/>
      <c r="E49" s="55"/>
      <c r="F49" s="55"/>
      <c r="G49" s="55"/>
      <c r="H49" s="55"/>
      <c r="I49" s="55"/>
    </row>
    <row r="50" spans="1:12" ht="15" thickBot="1"/>
    <row r="51" spans="1:12" ht="15.6">
      <c r="A51" s="525" t="s">
        <v>71</v>
      </c>
      <c r="B51" s="525"/>
      <c r="C51" s="525"/>
      <c r="D51" s="525"/>
      <c r="E51" s="525"/>
      <c r="F51" s="525"/>
      <c r="G51" s="526"/>
      <c r="H51" s="526"/>
      <c r="I51" s="525"/>
    </row>
    <row r="52" spans="1:12" ht="15" thickBot="1">
      <c r="A52" s="58"/>
      <c r="B52" s="58"/>
      <c r="C52" s="59"/>
      <c r="D52" s="59"/>
      <c r="E52" s="59"/>
      <c r="F52" s="60"/>
      <c r="G52" s="60"/>
      <c r="H52" s="60"/>
    </row>
    <row r="53" spans="1:12">
      <c r="A53" s="527" t="s">
        <v>12</v>
      </c>
      <c r="B53" s="528"/>
      <c r="C53" s="139" t="s">
        <v>14</v>
      </c>
      <c r="D53" s="140"/>
      <c r="E53" s="141" t="s">
        <v>72</v>
      </c>
      <c r="F53" s="141" t="s">
        <v>73</v>
      </c>
      <c r="G53" s="263"/>
      <c r="H53" s="263"/>
      <c r="I53" s="142" t="s">
        <v>74</v>
      </c>
    </row>
    <row r="54" spans="1:12">
      <c r="A54" s="503" t="s">
        <v>75</v>
      </c>
      <c r="B54" s="504"/>
      <c r="C54" s="177" t="s">
        <v>76</v>
      </c>
      <c r="D54" s="178"/>
      <c r="E54" s="84">
        <f>'Relatorios LOTE 03'!D139</f>
        <v>1</v>
      </c>
      <c r="F54" s="86">
        <f>'Relatorios LOTE 03'!D25</f>
        <v>849.88200000000006</v>
      </c>
      <c r="G54" s="257"/>
      <c r="H54" s="257"/>
      <c r="I54" s="85">
        <f t="shared" ref="I54:I59" si="4">F54*E54</f>
        <v>849.88200000000006</v>
      </c>
    </row>
    <row r="55" spans="1:12">
      <c r="A55" s="503" t="s">
        <v>77</v>
      </c>
      <c r="B55" s="504"/>
      <c r="C55" s="177" t="s">
        <v>78</v>
      </c>
      <c r="D55" s="178"/>
      <c r="E55" s="84">
        <f>'Relatorios LOTE 03'!D140</f>
        <v>1</v>
      </c>
      <c r="F55" s="86">
        <f>'Relatorios LOTE 03'!D48</f>
        <v>463.572</v>
      </c>
      <c r="G55" s="257"/>
      <c r="H55" s="257"/>
      <c r="I55" s="85">
        <f t="shared" si="4"/>
        <v>463.572</v>
      </c>
    </row>
    <row r="56" spans="1:12">
      <c r="A56" s="503" t="s">
        <v>79</v>
      </c>
      <c r="B56" s="504"/>
      <c r="C56" s="177" t="s">
        <v>80</v>
      </c>
      <c r="D56" s="178"/>
      <c r="E56" s="84">
        <f>'Relatorios LOTE 03'!D141</f>
        <v>1</v>
      </c>
      <c r="F56" s="86">
        <f>'Relatorios LOTE 03'!D71</f>
        <v>353.57022749999999</v>
      </c>
      <c r="G56" s="257"/>
      <c r="H56" s="257"/>
      <c r="I56" s="85">
        <f t="shared" si="4"/>
        <v>353.57022749999999</v>
      </c>
    </row>
    <row r="57" spans="1:12">
      <c r="A57" s="503" t="s">
        <v>81</v>
      </c>
      <c r="B57" s="504"/>
      <c r="C57" s="177" t="s">
        <v>82</v>
      </c>
      <c r="D57" s="178"/>
      <c r="E57" s="84">
        <f>'Relatorios LOTE 03'!D142</f>
        <v>1</v>
      </c>
      <c r="F57" s="86">
        <f>'Relatorios LOTE 03'!D91</f>
        <v>429.09383250000002</v>
      </c>
      <c r="G57" s="257"/>
      <c r="H57" s="257"/>
      <c r="I57" s="85">
        <f t="shared" si="4"/>
        <v>429.09383250000002</v>
      </c>
    </row>
    <row r="58" spans="1:12">
      <c r="A58" s="503" t="s">
        <v>83</v>
      </c>
      <c r="B58" s="504"/>
      <c r="C58" s="177" t="s">
        <v>84</v>
      </c>
      <c r="D58" s="178"/>
      <c r="E58" s="84">
        <f>'Relatorios LOTE 03'!D143</f>
        <v>1</v>
      </c>
      <c r="F58" s="86">
        <f>'Relatorios LOTE 03'!D111</f>
        <v>459.64451500000001</v>
      </c>
      <c r="G58" s="257"/>
      <c r="H58" s="257"/>
      <c r="I58" s="85">
        <f t="shared" si="4"/>
        <v>459.64451500000001</v>
      </c>
    </row>
    <row r="59" spans="1:12">
      <c r="A59" s="503" t="s">
        <v>85</v>
      </c>
      <c r="B59" s="504"/>
      <c r="C59" s="177" t="s">
        <v>86</v>
      </c>
      <c r="D59" s="178"/>
      <c r="E59" s="84">
        <f>'Relatorios LOTE 03'!D144</f>
        <v>12</v>
      </c>
      <c r="F59" s="86">
        <f>'Relatorios LOTE 03'!D132</f>
        <v>1584</v>
      </c>
      <c r="G59" s="257"/>
      <c r="H59" s="257"/>
      <c r="I59" s="85">
        <f t="shared" si="4"/>
        <v>19008</v>
      </c>
      <c r="L59" s="253"/>
    </row>
    <row r="60" spans="1:12">
      <c r="A60" s="503"/>
      <c r="B60" s="504"/>
      <c r="C60" s="177"/>
      <c r="D60" s="178"/>
      <c r="E60" s="84"/>
      <c r="F60" s="86"/>
      <c r="G60" s="257"/>
      <c r="H60" s="257"/>
      <c r="I60" s="85"/>
    </row>
    <row r="61" spans="1:12">
      <c r="A61" s="531"/>
      <c r="B61" s="532"/>
      <c r="C61" s="87"/>
      <c r="D61" s="83"/>
      <c r="E61" s="88"/>
      <c r="F61" s="89" t="s">
        <v>87</v>
      </c>
      <c r="G61" s="258"/>
      <c r="H61" s="258"/>
      <c r="I61" s="90">
        <f>SUM(I54:I59)</f>
        <v>21563.762575000001</v>
      </c>
    </row>
    <row r="62" spans="1:12">
      <c r="A62" s="531"/>
      <c r="B62" s="532"/>
      <c r="C62" s="87"/>
      <c r="D62" s="83"/>
      <c r="E62" s="88"/>
      <c r="F62" s="88"/>
      <c r="G62" s="259"/>
      <c r="H62" s="259"/>
      <c r="I62" s="91" t="s">
        <v>73</v>
      </c>
    </row>
    <row r="63" spans="1:12">
      <c r="A63" s="531"/>
      <c r="B63" s="532"/>
      <c r="C63" s="92" t="s">
        <v>88</v>
      </c>
      <c r="D63" s="83"/>
      <c r="E63" s="88"/>
      <c r="F63" s="88"/>
      <c r="G63" s="259"/>
      <c r="H63" s="259"/>
      <c r="I63" s="85"/>
    </row>
    <row r="64" spans="1:12">
      <c r="A64" s="531"/>
      <c r="B64" s="532"/>
      <c r="C64" s="92" t="s">
        <v>89</v>
      </c>
      <c r="D64" s="83"/>
      <c r="E64" s="88"/>
      <c r="F64" s="88" t="s">
        <v>90</v>
      </c>
      <c r="G64" s="259"/>
      <c r="H64" s="259"/>
      <c r="I64" s="85">
        <f>I48</f>
        <v>1758407.3881518</v>
      </c>
    </row>
    <row r="65" spans="1:9">
      <c r="A65" s="531"/>
      <c r="B65" s="532"/>
      <c r="C65" s="92" t="s">
        <v>91</v>
      </c>
      <c r="D65" s="83"/>
      <c r="E65" s="88"/>
      <c r="F65" s="88" t="s">
        <v>73</v>
      </c>
      <c r="G65" s="259"/>
      <c r="H65" s="259"/>
      <c r="I65" s="85">
        <f>I61</f>
        <v>21563.762575000001</v>
      </c>
    </row>
    <row r="66" spans="1:9">
      <c r="A66" s="533"/>
      <c r="B66" s="534"/>
      <c r="C66" s="93" t="s">
        <v>92</v>
      </c>
      <c r="D66" s="94"/>
      <c r="E66" s="95"/>
      <c r="F66" s="95" t="s">
        <v>93</v>
      </c>
      <c r="G66" s="260"/>
      <c r="H66" s="260"/>
      <c r="I66" s="96">
        <f>ROUND(I64/I65,2)</f>
        <v>81.540000000000006</v>
      </c>
    </row>
    <row r="67" spans="1:9" ht="15" thickBot="1">
      <c r="A67" s="529"/>
      <c r="B67" s="530"/>
      <c r="C67" s="61"/>
      <c r="D67" s="62"/>
      <c r="E67" s="63"/>
      <c r="F67" s="63"/>
      <c r="G67" s="261"/>
      <c r="H67" s="261"/>
      <c r="I67" s="64"/>
    </row>
  </sheetData>
  <mergeCells count="24">
    <mergeCell ref="C48:F48"/>
    <mergeCell ref="A1:I1"/>
    <mergeCell ref="C2:E2"/>
    <mergeCell ref="F2:I3"/>
    <mergeCell ref="C3:E3"/>
    <mergeCell ref="C47:F47"/>
    <mergeCell ref="A2:B2"/>
    <mergeCell ref="A3:B3"/>
    <mergeCell ref="A51:I51"/>
    <mergeCell ref="A53:B53"/>
    <mergeCell ref="A54:B54"/>
    <mergeCell ref="A55:B55"/>
    <mergeCell ref="A56:B56"/>
    <mergeCell ref="A57:B57"/>
    <mergeCell ref="A58:B58"/>
    <mergeCell ref="A67:B67"/>
    <mergeCell ref="A59:B59"/>
    <mergeCell ref="A60:B60"/>
    <mergeCell ref="A61:B61"/>
    <mergeCell ref="A62:B62"/>
    <mergeCell ref="A63:B63"/>
    <mergeCell ref="A64:B64"/>
    <mergeCell ref="A65:B65"/>
    <mergeCell ref="A66:B66"/>
  </mergeCells>
  <phoneticPr fontId="50" type="noConversion"/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4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R147"/>
  <sheetViews>
    <sheetView showGridLines="0" zoomScale="85" zoomScaleNormal="85" zoomScaleSheetLayoutView="85" zoomScalePageLayoutView="85" workbookViewId="0">
      <pane ySplit="1" topLeftCell="A86" activePane="bottomLeft" state="frozen"/>
      <selection activeCell="B18" sqref="B18"/>
      <selection pane="bottomLeft" activeCell="A143" sqref="A143"/>
    </sheetView>
  </sheetViews>
  <sheetFormatPr defaultColWidth="8.6640625" defaultRowHeight="13.2"/>
  <cols>
    <col min="1" max="1" width="9" style="67" bestFit="1" customWidth="1"/>
    <col min="2" max="2" width="61.6640625" style="67" customWidth="1"/>
    <col min="3" max="3" width="12.6640625" style="67" customWidth="1"/>
    <col min="4" max="4" width="13.5546875" style="97" customWidth="1"/>
    <col min="5" max="5" width="16.21875" style="97" bestFit="1" customWidth="1"/>
    <col min="6" max="6" width="11.6640625" style="97" bestFit="1" customWidth="1"/>
    <col min="7" max="7" width="15.6640625" style="97" bestFit="1" customWidth="1"/>
    <col min="8" max="8" width="16.21875" style="97" bestFit="1" customWidth="1"/>
    <col min="9" max="9" width="13.109375" style="97" bestFit="1" customWidth="1"/>
    <col min="10" max="10" width="13.109375" style="97" customWidth="1"/>
    <col min="11" max="11" width="19.44140625" style="97" customWidth="1"/>
    <col min="12" max="12" width="21.109375" style="97" customWidth="1"/>
    <col min="13" max="13" width="17" style="97" customWidth="1"/>
    <col min="14" max="14" width="6.5546875" style="97" customWidth="1"/>
    <col min="15" max="15" width="14.6640625" style="97" customWidth="1"/>
    <col min="16" max="16" width="13.33203125" style="97" customWidth="1"/>
    <col min="17" max="17" width="18.5546875" style="97" customWidth="1"/>
    <col min="18" max="19" width="8.6640625" style="97" customWidth="1"/>
    <col min="20" max="225" width="8.6640625" style="97"/>
    <col min="226" max="226" width="12.6640625" style="97" customWidth="1"/>
    <col min="227" max="227" width="60.33203125" style="97" customWidth="1"/>
    <col min="228" max="229" width="12.6640625" style="97" customWidth="1"/>
    <col min="230" max="230" width="12.33203125" style="97" bestFit="1" customWidth="1"/>
    <col min="231" max="231" width="15.6640625" style="97" customWidth="1"/>
    <col min="232" max="232" width="17.6640625" style="97" bestFit="1" customWidth="1"/>
    <col min="233" max="233" width="8.6640625" style="97"/>
    <col min="234" max="234" width="18" style="97" bestFit="1" customWidth="1"/>
    <col min="235" max="236" width="8.6640625" style="97"/>
    <col min="237" max="237" width="21.6640625" style="97" customWidth="1"/>
    <col min="238" max="238" width="9.44140625" style="97" bestFit="1" customWidth="1"/>
    <col min="239" max="481" width="8.6640625" style="97"/>
    <col min="482" max="482" width="12.6640625" style="97" customWidth="1"/>
    <col min="483" max="483" width="60.33203125" style="97" customWidth="1"/>
    <col min="484" max="485" width="12.6640625" style="97" customWidth="1"/>
    <col min="486" max="486" width="12.33203125" style="97" bestFit="1" customWidth="1"/>
    <col min="487" max="487" width="15.6640625" style="97" customWidth="1"/>
    <col min="488" max="488" width="17.6640625" style="97" bestFit="1" customWidth="1"/>
    <col min="489" max="489" width="8.6640625" style="97"/>
    <col min="490" max="490" width="18" style="97" bestFit="1" customWidth="1"/>
    <col min="491" max="492" width="8.6640625" style="97"/>
    <col min="493" max="493" width="21.6640625" style="97" customWidth="1"/>
    <col min="494" max="494" width="9.44140625" style="97" bestFit="1" customWidth="1"/>
    <col min="495" max="737" width="8.6640625" style="97"/>
    <col min="738" max="738" width="12.6640625" style="97" customWidth="1"/>
    <col min="739" max="739" width="60.33203125" style="97" customWidth="1"/>
    <col min="740" max="741" width="12.6640625" style="97" customWidth="1"/>
    <col min="742" max="742" width="12.33203125" style="97" bestFit="1" customWidth="1"/>
    <col min="743" max="743" width="15.6640625" style="97" customWidth="1"/>
    <col min="744" max="744" width="17.6640625" style="97" bestFit="1" customWidth="1"/>
    <col min="745" max="745" width="8.6640625" style="97"/>
    <col min="746" max="746" width="18" style="97" bestFit="1" customWidth="1"/>
    <col min="747" max="748" width="8.6640625" style="97"/>
    <col min="749" max="749" width="21.6640625" style="97" customWidth="1"/>
    <col min="750" max="750" width="9.44140625" style="97" bestFit="1" customWidth="1"/>
    <col min="751" max="993" width="8.6640625" style="97"/>
    <col min="994" max="994" width="12.6640625" style="97" customWidth="1"/>
    <col min="995" max="995" width="60.33203125" style="97" customWidth="1"/>
    <col min="996" max="997" width="12.6640625" style="97" customWidth="1"/>
    <col min="998" max="998" width="12.33203125" style="97" bestFit="1" customWidth="1"/>
    <col min="999" max="999" width="15.6640625" style="97" customWidth="1"/>
    <col min="1000" max="1000" width="17.6640625" style="97" bestFit="1" customWidth="1"/>
    <col min="1001" max="1001" width="8.6640625" style="97"/>
    <col min="1002" max="1002" width="18" style="97" bestFit="1" customWidth="1"/>
    <col min="1003" max="1004" width="8.6640625" style="97"/>
    <col min="1005" max="1005" width="21.6640625" style="97" customWidth="1"/>
    <col min="1006" max="1006" width="9.44140625" style="97" bestFit="1" customWidth="1"/>
    <col min="1007" max="1249" width="8.6640625" style="97"/>
    <col min="1250" max="1250" width="12.6640625" style="97" customWidth="1"/>
    <col min="1251" max="1251" width="60.33203125" style="97" customWidth="1"/>
    <col min="1252" max="1253" width="12.6640625" style="97" customWidth="1"/>
    <col min="1254" max="1254" width="12.33203125" style="97" bestFit="1" customWidth="1"/>
    <col min="1255" max="1255" width="15.6640625" style="97" customWidth="1"/>
    <col min="1256" max="1256" width="17.6640625" style="97" bestFit="1" customWidth="1"/>
    <col min="1257" max="1257" width="8.6640625" style="97"/>
    <col min="1258" max="1258" width="18" style="97" bestFit="1" customWidth="1"/>
    <col min="1259" max="1260" width="8.6640625" style="97"/>
    <col min="1261" max="1261" width="21.6640625" style="97" customWidth="1"/>
    <col min="1262" max="1262" width="9.44140625" style="97" bestFit="1" customWidth="1"/>
    <col min="1263" max="1505" width="8.6640625" style="97"/>
    <col min="1506" max="1506" width="12.6640625" style="97" customWidth="1"/>
    <col min="1507" max="1507" width="60.33203125" style="97" customWidth="1"/>
    <col min="1508" max="1509" width="12.6640625" style="97" customWidth="1"/>
    <col min="1510" max="1510" width="12.33203125" style="97" bestFit="1" customWidth="1"/>
    <col min="1511" max="1511" width="15.6640625" style="97" customWidth="1"/>
    <col min="1512" max="1512" width="17.6640625" style="97" bestFit="1" customWidth="1"/>
    <col min="1513" max="1513" width="8.6640625" style="97"/>
    <col min="1514" max="1514" width="18" style="97" bestFit="1" customWidth="1"/>
    <col min="1515" max="1516" width="8.6640625" style="97"/>
    <col min="1517" max="1517" width="21.6640625" style="97" customWidth="1"/>
    <col min="1518" max="1518" width="9.44140625" style="97" bestFit="1" customWidth="1"/>
    <col min="1519" max="1761" width="8.6640625" style="97"/>
    <col min="1762" max="1762" width="12.6640625" style="97" customWidth="1"/>
    <col min="1763" max="1763" width="60.33203125" style="97" customWidth="1"/>
    <col min="1764" max="1765" width="12.6640625" style="97" customWidth="1"/>
    <col min="1766" max="1766" width="12.33203125" style="97" bestFit="1" customWidth="1"/>
    <col min="1767" max="1767" width="15.6640625" style="97" customWidth="1"/>
    <col min="1768" max="1768" width="17.6640625" style="97" bestFit="1" customWidth="1"/>
    <col min="1769" max="1769" width="8.6640625" style="97"/>
    <col min="1770" max="1770" width="18" style="97" bestFit="1" customWidth="1"/>
    <col min="1771" max="1772" width="8.6640625" style="97"/>
    <col min="1773" max="1773" width="21.6640625" style="97" customWidth="1"/>
    <col min="1774" max="1774" width="9.44140625" style="97" bestFit="1" customWidth="1"/>
    <col min="1775" max="2017" width="8.6640625" style="97"/>
    <col min="2018" max="2018" width="12.6640625" style="97" customWidth="1"/>
    <col min="2019" max="2019" width="60.33203125" style="97" customWidth="1"/>
    <col min="2020" max="2021" width="12.6640625" style="97" customWidth="1"/>
    <col min="2022" max="2022" width="12.33203125" style="97" bestFit="1" customWidth="1"/>
    <col min="2023" max="2023" width="15.6640625" style="97" customWidth="1"/>
    <col min="2024" max="2024" width="17.6640625" style="97" bestFit="1" customWidth="1"/>
    <col min="2025" max="2025" width="8.6640625" style="97"/>
    <col min="2026" max="2026" width="18" style="97" bestFit="1" customWidth="1"/>
    <col min="2027" max="2028" width="8.6640625" style="97"/>
    <col min="2029" max="2029" width="21.6640625" style="97" customWidth="1"/>
    <col min="2030" max="2030" width="9.44140625" style="97" bestFit="1" customWidth="1"/>
    <col min="2031" max="2273" width="8.6640625" style="97"/>
    <col min="2274" max="2274" width="12.6640625" style="97" customWidth="1"/>
    <col min="2275" max="2275" width="60.33203125" style="97" customWidth="1"/>
    <col min="2276" max="2277" width="12.6640625" style="97" customWidth="1"/>
    <col min="2278" max="2278" width="12.33203125" style="97" bestFit="1" customWidth="1"/>
    <col min="2279" max="2279" width="15.6640625" style="97" customWidth="1"/>
    <col min="2280" max="2280" width="17.6640625" style="97" bestFit="1" customWidth="1"/>
    <col min="2281" max="2281" width="8.6640625" style="97"/>
    <col min="2282" max="2282" width="18" style="97" bestFit="1" customWidth="1"/>
    <col min="2283" max="2284" width="8.6640625" style="97"/>
    <col min="2285" max="2285" width="21.6640625" style="97" customWidth="1"/>
    <col min="2286" max="2286" width="9.44140625" style="97" bestFit="1" customWidth="1"/>
    <col min="2287" max="2529" width="8.6640625" style="97"/>
    <col min="2530" max="2530" width="12.6640625" style="97" customWidth="1"/>
    <col min="2531" max="2531" width="60.33203125" style="97" customWidth="1"/>
    <col min="2532" max="2533" width="12.6640625" style="97" customWidth="1"/>
    <col min="2534" max="2534" width="12.33203125" style="97" bestFit="1" customWidth="1"/>
    <col min="2535" max="2535" width="15.6640625" style="97" customWidth="1"/>
    <col min="2536" max="2536" width="17.6640625" style="97" bestFit="1" customWidth="1"/>
    <col min="2537" max="2537" width="8.6640625" style="97"/>
    <col min="2538" max="2538" width="18" style="97" bestFit="1" customWidth="1"/>
    <col min="2539" max="2540" width="8.6640625" style="97"/>
    <col min="2541" max="2541" width="21.6640625" style="97" customWidth="1"/>
    <col min="2542" max="2542" width="9.44140625" style="97" bestFit="1" customWidth="1"/>
    <col min="2543" max="2785" width="8.6640625" style="97"/>
    <col min="2786" max="2786" width="12.6640625" style="97" customWidth="1"/>
    <col min="2787" max="2787" width="60.33203125" style="97" customWidth="1"/>
    <col min="2788" max="2789" width="12.6640625" style="97" customWidth="1"/>
    <col min="2790" max="2790" width="12.33203125" style="97" bestFit="1" customWidth="1"/>
    <col min="2791" max="2791" width="15.6640625" style="97" customWidth="1"/>
    <col min="2792" max="2792" width="17.6640625" style="97" bestFit="1" customWidth="1"/>
    <col min="2793" max="2793" width="8.6640625" style="97"/>
    <col min="2794" max="2794" width="18" style="97" bestFit="1" customWidth="1"/>
    <col min="2795" max="2796" width="8.6640625" style="97"/>
    <col min="2797" max="2797" width="21.6640625" style="97" customWidth="1"/>
    <col min="2798" max="2798" width="9.44140625" style="97" bestFit="1" customWidth="1"/>
    <col min="2799" max="3041" width="8.6640625" style="97"/>
    <col min="3042" max="3042" width="12.6640625" style="97" customWidth="1"/>
    <col min="3043" max="3043" width="60.33203125" style="97" customWidth="1"/>
    <col min="3044" max="3045" width="12.6640625" style="97" customWidth="1"/>
    <col min="3046" max="3046" width="12.33203125" style="97" bestFit="1" customWidth="1"/>
    <col min="3047" max="3047" width="15.6640625" style="97" customWidth="1"/>
    <col min="3048" max="3048" width="17.6640625" style="97" bestFit="1" customWidth="1"/>
    <col min="3049" max="3049" width="8.6640625" style="97"/>
    <col min="3050" max="3050" width="18" style="97" bestFit="1" customWidth="1"/>
    <col min="3051" max="3052" width="8.6640625" style="97"/>
    <col min="3053" max="3053" width="21.6640625" style="97" customWidth="1"/>
    <col min="3054" max="3054" width="9.44140625" style="97" bestFit="1" customWidth="1"/>
    <col min="3055" max="3297" width="8.6640625" style="97"/>
    <col min="3298" max="3298" width="12.6640625" style="97" customWidth="1"/>
    <col min="3299" max="3299" width="60.33203125" style="97" customWidth="1"/>
    <col min="3300" max="3301" width="12.6640625" style="97" customWidth="1"/>
    <col min="3302" max="3302" width="12.33203125" style="97" bestFit="1" customWidth="1"/>
    <col min="3303" max="3303" width="15.6640625" style="97" customWidth="1"/>
    <col min="3304" max="3304" width="17.6640625" style="97" bestFit="1" customWidth="1"/>
    <col min="3305" max="3305" width="8.6640625" style="97"/>
    <col min="3306" max="3306" width="18" style="97" bestFit="1" customWidth="1"/>
    <col min="3307" max="3308" width="8.6640625" style="97"/>
    <col min="3309" max="3309" width="21.6640625" style="97" customWidth="1"/>
    <col min="3310" max="3310" width="9.44140625" style="97" bestFit="1" customWidth="1"/>
    <col min="3311" max="3553" width="8.6640625" style="97"/>
    <col min="3554" max="3554" width="12.6640625" style="97" customWidth="1"/>
    <col min="3555" max="3555" width="60.33203125" style="97" customWidth="1"/>
    <col min="3556" max="3557" width="12.6640625" style="97" customWidth="1"/>
    <col min="3558" max="3558" width="12.33203125" style="97" bestFit="1" customWidth="1"/>
    <col min="3559" max="3559" width="15.6640625" style="97" customWidth="1"/>
    <col min="3560" max="3560" width="17.6640625" style="97" bestFit="1" customWidth="1"/>
    <col min="3561" max="3561" width="8.6640625" style="97"/>
    <col min="3562" max="3562" width="18" style="97" bestFit="1" customWidth="1"/>
    <col min="3563" max="3564" width="8.6640625" style="97"/>
    <col min="3565" max="3565" width="21.6640625" style="97" customWidth="1"/>
    <col min="3566" max="3566" width="9.44140625" style="97" bestFit="1" customWidth="1"/>
    <col min="3567" max="3809" width="8.6640625" style="97"/>
    <col min="3810" max="3810" width="12.6640625" style="97" customWidth="1"/>
    <col min="3811" max="3811" width="60.33203125" style="97" customWidth="1"/>
    <col min="3812" max="3813" width="12.6640625" style="97" customWidth="1"/>
    <col min="3814" max="3814" width="12.33203125" style="97" bestFit="1" customWidth="1"/>
    <col min="3815" max="3815" width="15.6640625" style="97" customWidth="1"/>
    <col min="3816" max="3816" width="17.6640625" style="97" bestFit="1" customWidth="1"/>
    <col min="3817" max="3817" width="8.6640625" style="97"/>
    <col min="3818" max="3818" width="18" style="97" bestFit="1" customWidth="1"/>
    <col min="3819" max="3820" width="8.6640625" style="97"/>
    <col min="3821" max="3821" width="21.6640625" style="97" customWidth="1"/>
    <col min="3822" max="3822" width="9.44140625" style="97" bestFit="1" customWidth="1"/>
    <col min="3823" max="4065" width="8.6640625" style="97"/>
    <col min="4066" max="4066" width="12.6640625" style="97" customWidth="1"/>
    <col min="4067" max="4067" width="60.33203125" style="97" customWidth="1"/>
    <col min="4068" max="4069" width="12.6640625" style="97" customWidth="1"/>
    <col min="4070" max="4070" width="12.33203125" style="97" bestFit="1" customWidth="1"/>
    <col min="4071" max="4071" width="15.6640625" style="97" customWidth="1"/>
    <col min="4072" max="4072" width="17.6640625" style="97" bestFit="1" customWidth="1"/>
    <col min="4073" max="4073" width="8.6640625" style="97"/>
    <col min="4074" max="4074" width="18" style="97" bestFit="1" customWidth="1"/>
    <col min="4075" max="4076" width="8.6640625" style="97"/>
    <col min="4077" max="4077" width="21.6640625" style="97" customWidth="1"/>
    <col min="4078" max="4078" width="9.44140625" style="97" bestFit="1" customWidth="1"/>
    <col min="4079" max="4321" width="8.6640625" style="97"/>
    <col min="4322" max="4322" width="12.6640625" style="97" customWidth="1"/>
    <col min="4323" max="4323" width="60.33203125" style="97" customWidth="1"/>
    <col min="4324" max="4325" width="12.6640625" style="97" customWidth="1"/>
    <col min="4326" max="4326" width="12.33203125" style="97" bestFit="1" customWidth="1"/>
    <col min="4327" max="4327" width="15.6640625" style="97" customWidth="1"/>
    <col min="4328" max="4328" width="17.6640625" style="97" bestFit="1" customWidth="1"/>
    <col min="4329" max="4329" width="8.6640625" style="97"/>
    <col min="4330" max="4330" width="18" style="97" bestFit="1" customWidth="1"/>
    <col min="4331" max="4332" width="8.6640625" style="97"/>
    <col min="4333" max="4333" width="21.6640625" style="97" customWidth="1"/>
    <col min="4334" max="4334" width="9.44140625" style="97" bestFit="1" customWidth="1"/>
    <col min="4335" max="4577" width="8.6640625" style="97"/>
    <col min="4578" max="4578" width="12.6640625" style="97" customWidth="1"/>
    <col min="4579" max="4579" width="60.33203125" style="97" customWidth="1"/>
    <col min="4580" max="4581" width="12.6640625" style="97" customWidth="1"/>
    <col min="4582" max="4582" width="12.33203125" style="97" bestFit="1" customWidth="1"/>
    <col min="4583" max="4583" width="15.6640625" style="97" customWidth="1"/>
    <col min="4584" max="4584" width="17.6640625" style="97" bestFit="1" customWidth="1"/>
    <col min="4585" max="4585" width="8.6640625" style="97"/>
    <col min="4586" max="4586" width="18" style="97" bestFit="1" customWidth="1"/>
    <col min="4587" max="4588" width="8.6640625" style="97"/>
    <col min="4589" max="4589" width="21.6640625" style="97" customWidth="1"/>
    <col min="4590" max="4590" width="9.44140625" style="97" bestFit="1" customWidth="1"/>
    <col min="4591" max="4833" width="8.6640625" style="97"/>
    <col min="4834" max="4834" width="12.6640625" style="97" customWidth="1"/>
    <col min="4835" max="4835" width="60.33203125" style="97" customWidth="1"/>
    <col min="4836" max="4837" width="12.6640625" style="97" customWidth="1"/>
    <col min="4838" max="4838" width="12.33203125" style="97" bestFit="1" customWidth="1"/>
    <col min="4839" max="4839" width="15.6640625" style="97" customWidth="1"/>
    <col min="4840" max="4840" width="17.6640625" style="97" bestFit="1" customWidth="1"/>
    <col min="4841" max="4841" width="8.6640625" style="97"/>
    <col min="4842" max="4842" width="18" style="97" bestFit="1" customWidth="1"/>
    <col min="4843" max="4844" width="8.6640625" style="97"/>
    <col min="4845" max="4845" width="21.6640625" style="97" customWidth="1"/>
    <col min="4846" max="4846" width="9.44140625" style="97" bestFit="1" customWidth="1"/>
    <col min="4847" max="5089" width="8.6640625" style="97"/>
    <col min="5090" max="5090" width="12.6640625" style="97" customWidth="1"/>
    <col min="5091" max="5091" width="60.33203125" style="97" customWidth="1"/>
    <col min="5092" max="5093" width="12.6640625" style="97" customWidth="1"/>
    <col min="5094" max="5094" width="12.33203125" style="97" bestFit="1" customWidth="1"/>
    <col min="5095" max="5095" width="15.6640625" style="97" customWidth="1"/>
    <col min="5096" max="5096" width="17.6640625" style="97" bestFit="1" customWidth="1"/>
    <col min="5097" max="5097" width="8.6640625" style="97"/>
    <col min="5098" max="5098" width="18" style="97" bestFit="1" customWidth="1"/>
    <col min="5099" max="5100" width="8.6640625" style="97"/>
    <col min="5101" max="5101" width="21.6640625" style="97" customWidth="1"/>
    <col min="5102" max="5102" width="9.44140625" style="97" bestFit="1" customWidth="1"/>
    <col min="5103" max="5345" width="8.6640625" style="97"/>
    <col min="5346" max="5346" width="12.6640625" style="97" customWidth="1"/>
    <col min="5347" max="5347" width="60.33203125" style="97" customWidth="1"/>
    <col min="5348" max="5349" width="12.6640625" style="97" customWidth="1"/>
    <col min="5350" max="5350" width="12.33203125" style="97" bestFit="1" customWidth="1"/>
    <col min="5351" max="5351" width="15.6640625" style="97" customWidth="1"/>
    <col min="5352" max="5352" width="17.6640625" style="97" bestFit="1" customWidth="1"/>
    <col min="5353" max="5353" width="8.6640625" style="97"/>
    <col min="5354" max="5354" width="18" style="97" bestFit="1" customWidth="1"/>
    <col min="5355" max="5356" width="8.6640625" style="97"/>
    <col min="5357" max="5357" width="21.6640625" style="97" customWidth="1"/>
    <col min="5358" max="5358" width="9.44140625" style="97" bestFit="1" customWidth="1"/>
    <col min="5359" max="5601" width="8.6640625" style="97"/>
    <col min="5602" max="5602" width="12.6640625" style="97" customWidth="1"/>
    <col min="5603" max="5603" width="60.33203125" style="97" customWidth="1"/>
    <col min="5604" max="5605" width="12.6640625" style="97" customWidth="1"/>
    <col min="5606" max="5606" width="12.33203125" style="97" bestFit="1" customWidth="1"/>
    <col min="5607" max="5607" width="15.6640625" style="97" customWidth="1"/>
    <col min="5608" max="5608" width="17.6640625" style="97" bestFit="1" customWidth="1"/>
    <col min="5609" max="5609" width="8.6640625" style="97"/>
    <col min="5610" max="5610" width="18" style="97" bestFit="1" customWidth="1"/>
    <col min="5611" max="5612" width="8.6640625" style="97"/>
    <col min="5613" max="5613" width="21.6640625" style="97" customWidth="1"/>
    <col min="5614" max="5614" width="9.44140625" style="97" bestFit="1" customWidth="1"/>
    <col min="5615" max="5857" width="8.6640625" style="97"/>
    <col min="5858" max="5858" width="12.6640625" style="97" customWidth="1"/>
    <col min="5859" max="5859" width="60.33203125" style="97" customWidth="1"/>
    <col min="5860" max="5861" width="12.6640625" style="97" customWidth="1"/>
    <col min="5862" max="5862" width="12.33203125" style="97" bestFit="1" customWidth="1"/>
    <col min="5863" max="5863" width="15.6640625" style="97" customWidth="1"/>
    <col min="5864" max="5864" width="17.6640625" style="97" bestFit="1" customWidth="1"/>
    <col min="5865" max="5865" width="8.6640625" style="97"/>
    <col min="5866" max="5866" width="18" style="97" bestFit="1" customWidth="1"/>
    <col min="5867" max="5868" width="8.6640625" style="97"/>
    <col min="5869" max="5869" width="21.6640625" style="97" customWidth="1"/>
    <col min="5870" max="5870" width="9.44140625" style="97" bestFit="1" customWidth="1"/>
    <col min="5871" max="6113" width="8.6640625" style="97"/>
    <col min="6114" max="6114" width="12.6640625" style="97" customWidth="1"/>
    <col min="6115" max="6115" width="60.33203125" style="97" customWidth="1"/>
    <col min="6116" max="6117" width="12.6640625" style="97" customWidth="1"/>
    <col min="6118" max="6118" width="12.33203125" style="97" bestFit="1" customWidth="1"/>
    <col min="6119" max="6119" width="15.6640625" style="97" customWidth="1"/>
    <col min="6120" max="6120" width="17.6640625" style="97" bestFit="1" customWidth="1"/>
    <col min="6121" max="6121" width="8.6640625" style="97"/>
    <col min="6122" max="6122" width="18" style="97" bestFit="1" customWidth="1"/>
    <col min="6123" max="6124" width="8.6640625" style="97"/>
    <col min="6125" max="6125" width="21.6640625" style="97" customWidth="1"/>
    <col min="6126" max="6126" width="9.44140625" style="97" bestFit="1" customWidth="1"/>
    <col min="6127" max="6369" width="8.6640625" style="97"/>
    <col min="6370" max="6370" width="12.6640625" style="97" customWidth="1"/>
    <col min="6371" max="6371" width="60.33203125" style="97" customWidth="1"/>
    <col min="6372" max="6373" width="12.6640625" style="97" customWidth="1"/>
    <col min="6374" max="6374" width="12.33203125" style="97" bestFit="1" customWidth="1"/>
    <col min="6375" max="6375" width="15.6640625" style="97" customWidth="1"/>
    <col min="6376" max="6376" width="17.6640625" style="97" bestFit="1" customWidth="1"/>
    <col min="6377" max="6377" width="8.6640625" style="97"/>
    <col min="6378" max="6378" width="18" style="97" bestFit="1" customWidth="1"/>
    <col min="6379" max="6380" width="8.6640625" style="97"/>
    <col min="6381" max="6381" width="21.6640625" style="97" customWidth="1"/>
    <col min="6382" max="6382" width="9.44140625" style="97" bestFit="1" customWidth="1"/>
    <col min="6383" max="6625" width="8.6640625" style="97"/>
    <col min="6626" max="6626" width="12.6640625" style="97" customWidth="1"/>
    <col min="6627" max="6627" width="60.33203125" style="97" customWidth="1"/>
    <col min="6628" max="6629" width="12.6640625" style="97" customWidth="1"/>
    <col min="6630" max="6630" width="12.33203125" style="97" bestFit="1" customWidth="1"/>
    <col min="6631" max="6631" width="15.6640625" style="97" customWidth="1"/>
    <col min="6632" max="6632" width="17.6640625" style="97" bestFit="1" customWidth="1"/>
    <col min="6633" max="6633" width="8.6640625" style="97"/>
    <col min="6634" max="6634" width="18" style="97" bestFit="1" customWidth="1"/>
    <col min="6635" max="6636" width="8.6640625" style="97"/>
    <col min="6637" max="6637" width="21.6640625" style="97" customWidth="1"/>
    <col min="6638" max="6638" width="9.44140625" style="97" bestFit="1" customWidth="1"/>
    <col min="6639" max="6881" width="8.6640625" style="97"/>
    <col min="6882" max="6882" width="12.6640625" style="97" customWidth="1"/>
    <col min="6883" max="6883" width="60.33203125" style="97" customWidth="1"/>
    <col min="6884" max="6885" width="12.6640625" style="97" customWidth="1"/>
    <col min="6886" max="6886" width="12.33203125" style="97" bestFit="1" customWidth="1"/>
    <col min="6887" max="6887" width="15.6640625" style="97" customWidth="1"/>
    <col min="6888" max="6888" width="17.6640625" style="97" bestFit="1" customWidth="1"/>
    <col min="6889" max="6889" width="8.6640625" style="97"/>
    <col min="6890" max="6890" width="18" style="97" bestFit="1" customWidth="1"/>
    <col min="6891" max="6892" width="8.6640625" style="97"/>
    <col min="6893" max="6893" width="21.6640625" style="97" customWidth="1"/>
    <col min="6894" max="6894" width="9.44140625" style="97" bestFit="1" customWidth="1"/>
    <col min="6895" max="7137" width="8.6640625" style="97"/>
    <col min="7138" max="7138" width="12.6640625" style="97" customWidth="1"/>
    <col min="7139" max="7139" width="60.33203125" style="97" customWidth="1"/>
    <col min="7140" max="7141" width="12.6640625" style="97" customWidth="1"/>
    <col min="7142" max="7142" width="12.33203125" style="97" bestFit="1" customWidth="1"/>
    <col min="7143" max="7143" width="15.6640625" style="97" customWidth="1"/>
    <col min="7144" max="7144" width="17.6640625" style="97" bestFit="1" customWidth="1"/>
    <col min="7145" max="7145" width="8.6640625" style="97"/>
    <col min="7146" max="7146" width="18" style="97" bestFit="1" customWidth="1"/>
    <col min="7147" max="7148" width="8.6640625" style="97"/>
    <col min="7149" max="7149" width="21.6640625" style="97" customWidth="1"/>
    <col min="7150" max="7150" width="9.44140625" style="97" bestFit="1" customWidth="1"/>
    <col min="7151" max="7393" width="8.6640625" style="97"/>
    <col min="7394" max="7394" width="12.6640625" style="97" customWidth="1"/>
    <col min="7395" max="7395" width="60.33203125" style="97" customWidth="1"/>
    <col min="7396" max="7397" width="12.6640625" style="97" customWidth="1"/>
    <col min="7398" max="7398" width="12.33203125" style="97" bestFit="1" customWidth="1"/>
    <col min="7399" max="7399" width="15.6640625" style="97" customWidth="1"/>
    <col min="7400" max="7400" width="17.6640625" style="97" bestFit="1" customWidth="1"/>
    <col min="7401" max="7401" width="8.6640625" style="97"/>
    <col min="7402" max="7402" width="18" style="97" bestFit="1" customWidth="1"/>
    <col min="7403" max="7404" width="8.6640625" style="97"/>
    <col min="7405" max="7405" width="21.6640625" style="97" customWidth="1"/>
    <col min="7406" max="7406" width="9.44140625" style="97" bestFit="1" customWidth="1"/>
    <col min="7407" max="7649" width="8.6640625" style="97"/>
    <col min="7650" max="7650" width="12.6640625" style="97" customWidth="1"/>
    <col min="7651" max="7651" width="60.33203125" style="97" customWidth="1"/>
    <col min="7652" max="7653" width="12.6640625" style="97" customWidth="1"/>
    <col min="7654" max="7654" width="12.33203125" style="97" bestFit="1" customWidth="1"/>
    <col min="7655" max="7655" width="15.6640625" style="97" customWidth="1"/>
    <col min="7656" max="7656" width="17.6640625" style="97" bestFit="1" customWidth="1"/>
    <col min="7657" max="7657" width="8.6640625" style="97"/>
    <col min="7658" max="7658" width="18" style="97" bestFit="1" customWidth="1"/>
    <col min="7659" max="7660" width="8.6640625" style="97"/>
    <col min="7661" max="7661" width="21.6640625" style="97" customWidth="1"/>
    <col min="7662" max="7662" width="9.44140625" style="97" bestFit="1" customWidth="1"/>
    <col min="7663" max="7905" width="8.6640625" style="97"/>
    <col min="7906" max="7906" width="12.6640625" style="97" customWidth="1"/>
    <col min="7907" max="7907" width="60.33203125" style="97" customWidth="1"/>
    <col min="7908" max="7909" width="12.6640625" style="97" customWidth="1"/>
    <col min="7910" max="7910" width="12.33203125" style="97" bestFit="1" customWidth="1"/>
    <col min="7911" max="7911" width="15.6640625" style="97" customWidth="1"/>
    <col min="7912" max="7912" width="17.6640625" style="97" bestFit="1" customWidth="1"/>
    <col min="7913" max="7913" width="8.6640625" style="97"/>
    <col min="7914" max="7914" width="18" style="97" bestFit="1" customWidth="1"/>
    <col min="7915" max="7916" width="8.6640625" style="97"/>
    <col min="7917" max="7917" width="21.6640625" style="97" customWidth="1"/>
    <col min="7918" max="7918" width="9.44140625" style="97" bestFit="1" customWidth="1"/>
    <col min="7919" max="8161" width="8.6640625" style="97"/>
    <col min="8162" max="8162" width="12.6640625" style="97" customWidth="1"/>
    <col min="8163" max="8163" width="60.33203125" style="97" customWidth="1"/>
    <col min="8164" max="8165" width="12.6640625" style="97" customWidth="1"/>
    <col min="8166" max="8166" width="12.33203125" style="97" bestFit="1" customWidth="1"/>
    <col min="8167" max="8167" width="15.6640625" style="97" customWidth="1"/>
    <col min="8168" max="8168" width="17.6640625" style="97" bestFit="1" customWidth="1"/>
    <col min="8169" max="8169" width="8.6640625" style="97"/>
    <col min="8170" max="8170" width="18" style="97" bestFit="1" customWidth="1"/>
    <col min="8171" max="8172" width="8.6640625" style="97"/>
    <col min="8173" max="8173" width="21.6640625" style="97" customWidth="1"/>
    <col min="8174" max="8174" width="9.44140625" style="97" bestFit="1" customWidth="1"/>
    <col min="8175" max="8417" width="8.6640625" style="97"/>
    <col min="8418" max="8418" width="12.6640625" style="97" customWidth="1"/>
    <col min="8419" max="8419" width="60.33203125" style="97" customWidth="1"/>
    <col min="8420" max="8421" width="12.6640625" style="97" customWidth="1"/>
    <col min="8422" max="8422" width="12.33203125" style="97" bestFit="1" customWidth="1"/>
    <col min="8423" max="8423" width="15.6640625" style="97" customWidth="1"/>
    <col min="8424" max="8424" width="17.6640625" style="97" bestFit="1" customWidth="1"/>
    <col min="8425" max="8425" width="8.6640625" style="97"/>
    <col min="8426" max="8426" width="18" style="97" bestFit="1" customWidth="1"/>
    <col min="8427" max="8428" width="8.6640625" style="97"/>
    <col min="8429" max="8429" width="21.6640625" style="97" customWidth="1"/>
    <col min="8430" max="8430" width="9.44140625" style="97" bestFit="1" customWidth="1"/>
    <col min="8431" max="8673" width="8.6640625" style="97"/>
    <col min="8674" max="8674" width="12.6640625" style="97" customWidth="1"/>
    <col min="8675" max="8675" width="60.33203125" style="97" customWidth="1"/>
    <col min="8676" max="8677" width="12.6640625" style="97" customWidth="1"/>
    <col min="8678" max="8678" width="12.33203125" style="97" bestFit="1" customWidth="1"/>
    <col min="8679" max="8679" width="15.6640625" style="97" customWidth="1"/>
    <col min="8680" max="8680" width="17.6640625" style="97" bestFit="1" customWidth="1"/>
    <col min="8681" max="8681" width="8.6640625" style="97"/>
    <col min="8682" max="8682" width="18" style="97" bestFit="1" customWidth="1"/>
    <col min="8683" max="8684" width="8.6640625" style="97"/>
    <col min="8685" max="8685" width="21.6640625" style="97" customWidth="1"/>
    <col min="8686" max="8686" width="9.44140625" style="97" bestFit="1" customWidth="1"/>
    <col min="8687" max="8929" width="8.6640625" style="97"/>
    <col min="8930" max="8930" width="12.6640625" style="97" customWidth="1"/>
    <col min="8931" max="8931" width="60.33203125" style="97" customWidth="1"/>
    <col min="8932" max="8933" width="12.6640625" style="97" customWidth="1"/>
    <col min="8934" max="8934" width="12.33203125" style="97" bestFit="1" customWidth="1"/>
    <col min="8935" max="8935" width="15.6640625" style="97" customWidth="1"/>
    <col min="8936" max="8936" width="17.6640625" style="97" bestFit="1" customWidth="1"/>
    <col min="8937" max="8937" width="8.6640625" style="97"/>
    <col min="8938" max="8938" width="18" style="97" bestFit="1" customWidth="1"/>
    <col min="8939" max="8940" width="8.6640625" style="97"/>
    <col min="8941" max="8941" width="21.6640625" style="97" customWidth="1"/>
    <col min="8942" max="8942" width="9.44140625" style="97" bestFit="1" customWidth="1"/>
    <col min="8943" max="9185" width="8.6640625" style="97"/>
    <col min="9186" max="9186" width="12.6640625" style="97" customWidth="1"/>
    <col min="9187" max="9187" width="60.33203125" style="97" customWidth="1"/>
    <col min="9188" max="9189" width="12.6640625" style="97" customWidth="1"/>
    <col min="9190" max="9190" width="12.33203125" style="97" bestFit="1" customWidth="1"/>
    <col min="9191" max="9191" width="15.6640625" style="97" customWidth="1"/>
    <col min="9192" max="9192" width="17.6640625" style="97" bestFit="1" customWidth="1"/>
    <col min="9193" max="9193" width="8.6640625" style="97"/>
    <col min="9194" max="9194" width="18" style="97" bestFit="1" customWidth="1"/>
    <col min="9195" max="9196" width="8.6640625" style="97"/>
    <col min="9197" max="9197" width="21.6640625" style="97" customWidth="1"/>
    <col min="9198" max="9198" width="9.44140625" style="97" bestFit="1" customWidth="1"/>
    <col min="9199" max="9441" width="8.6640625" style="97"/>
    <col min="9442" max="9442" width="12.6640625" style="97" customWidth="1"/>
    <col min="9443" max="9443" width="60.33203125" style="97" customWidth="1"/>
    <col min="9444" max="9445" width="12.6640625" style="97" customWidth="1"/>
    <col min="9446" max="9446" width="12.33203125" style="97" bestFit="1" customWidth="1"/>
    <col min="9447" max="9447" width="15.6640625" style="97" customWidth="1"/>
    <col min="9448" max="9448" width="17.6640625" style="97" bestFit="1" customWidth="1"/>
    <col min="9449" max="9449" width="8.6640625" style="97"/>
    <col min="9450" max="9450" width="18" style="97" bestFit="1" customWidth="1"/>
    <col min="9451" max="9452" width="8.6640625" style="97"/>
    <col min="9453" max="9453" width="21.6640625" style="97" customWidth="1"/>
    <col min="9454" max="9454" width="9.44140625" style="97" bestFit="1" customWidth="1"/>
    <col min="9455" max="9697" width="8.6640625" style="97"/>
    <col min="9698" max="9698" width="12.6640625" style="97" customWidth="1"/>
    <col min="9699" max="9699" width="60.33203125" style="97" customWidth="1"/>
    <col min="9700" max="9701" width="12.6640625" style="97" customWidth="1"/>
    <col min="9702" max="9702" width="12.33203125" style="97" bestFit="1" customWidth="1"/>
    <col min="9703" max="9703" width="15.6640625" style="97" customWidth="1"/>
    <col min="9704" max="9704" width="17.6640625" style="97" bestFit="1" customWidth="1"/>
    <col min="9705" max="9705" width="8.6640625" style="97"/>
    <col min="9706" max="9706" width="18" style="97" bestFit="1" customWidth="1"/>
    <col min="9707" max="9708" width="8.6640625" style="97"/>
    <col min="9709" max="9709" width="21.6640625" style="97" customWidth="1"/>
    <col min="9710" max="9710" width="9.44140625" style="97" bestFit="1" customWidth="1"/>
    <col min="9711" max="9953" width="8.6640625" style="97"/>
    <col min="9954" max="9954" width="12.6640625" style="97" customWidth="1"/>
    <col min="9955" max="9955" width="60.33203125" style="97" customWidth="1"/>
    <col min="9956" max="9957" width="12.6640625" style="97" customWidth="1"/>
    <col min="9958" max="9958" width="12.33203125" style="97" bestFit="1" customWidth="1"/>
    <col min="9959" max="9959" width="15.6640625" style="97" customWidth="1"/>
    <col min="9960" max="9960" width="17.6640625" style="97" bestFit="1" customWidth="1"/>
    <col min="9961" max="9961" width="8.6640625" style="97"/>
    <col min="9962" max="9962" width="18" style="97" bestFit="1" customWidth="1"/>
    <col min="9963" max="9964" width="8.6640625" style="97"/>
    <col min="9965" max="9965" width="21.6640625" style="97" customWidth="1"/>
    <col min="9966" max="9966" width="9.44140625" style="97" bestFit="1" customWidth="1"/>
    <col min="9967" max="10209" width="8.6640625" style="97"/>
    <col min="10210" max="10210" width="12.6640625" style="97" customWidth="1"/>
    <col min="10211" max="10211" width="60.33203125" style="97" customWidth="1"/>
    <col min="10212" max="10213" width="12.6640625" style="97" customWidth="1"/>
    <col min="10214" max="10214" width="12.33203125" style="97" bestFit="1" customWidth="1"/>
    <col min="10215" max="10215" width="15.6640625" style="97" customWidth="1"/>
    <col min="10216" max="10216" width="17.6640625" style="97" bestFit="1" customWidth="1"/>
    <col min="10217" max="10217" width="8.6640625" style="97"/>
    <col min="10218" max="10218" width="18" style="97" bestFit="1" customWidth="1"/>
    <col min="10219" max="10220" width="8.6640625" style="97"/>
    <col min="10221" max="10221" width="21.6640625" style="97" customWidth="1"/>
    <col min="10222" max="10222" width="9.44140625" style="97" bestFit="1" customWidth="1"/>
    <col min="10223" max="10465" width="8.6640625" style="97"/>
    <col min="10466" max="10466" width="12.6640625" style="97" customWidth="1"/>
    <col min="10467" max="10467" width="60.33203125" style="97" customWidth="1"/>
    <col min="10468" max="10469" width="12.6640625" style="97" customWidth="1"/>
    <col min="10470" max="10470" width="12.33203125" style="97" bestFit="1" customWidth="1"/>
    <col min="10471" max="10471" width="15.6640625" style="97" customWidth="1"/>
    <col min="10472" max="10472" width="17.6640625" style="97" bestFit="1" customWidth="1"/>
    <col min="10473" max="10473" width="8.6640625" style="97"/>
    <col min="10474" max="10474" width="18" style="97" bestFit="1" customWidth="1"/>
    <col min="10475" max="10476" width="8.6640625" style="97"/>
    <col min="10477" max="10477" width="21.6640625" style="97" customWidth="1"/>
    <col min="10478" max="10478" width="9.44140625" style="97" bestFit="1" customWidth="1"/>
    <col min="10479" max="10721" width="8.6640625" style="97"/>
    <col min="10722" max="10722" width="12.6640625" style="97" customWidth="1"/>
    <col min="10723" max="10723" width="60.33203125" style="97" customWidth="1"/>
    <col min="10724" max="10725" width="12.6640625" style="97" customWidth="1"/>
    <col min="10726" max="10726" width="12.33203125" style="97" bestFit="1" customWidth="1"/>
    <col min="10727" max="10727" width="15.6640625" style="97" customWidth="1"/>
    <col min="10728" max="10728" width="17.6640625" style="97" bestFit="1" customWidth="1"/>
    <col min="10729" max="10729" width="8.6640625" style="97"/>
    <col min="10730" max="10730" width="18" style="97" bestFit="1" customWidth="1"/>
    <col min="10731" max="10732" width="8.6640625" style="97"/>
    <col min="10733" max="10733" width="21.6640625" style="97" customWidth="1"/>
    <col min="10734" max="10734" width="9.44140625" style="97" bestFit="1" customWidth="1"/>
    <col min="10735" max="10977" width="8.6640625" style="97"/>
    <col min="10978" max="10978" width="12.6640625" style="97" customWidth="1"/>
    <col min="10979" max="10979" width="60.33203125" style="97" customWidth="1"/>
    <col min="10980" max="10981" width="12.6640625" style="97" customWidth="1"/>
    <col min="10982" max="10982" width="12.33203125" style="97" bestFit="1" customWidth="1"/>
    <col min="10983" max="10983" width="15.6640625" style="97" customWidth="1"/>
    <col min="10984" max="10984" width="17.6640625" style="97" bestFit="1" customWidth="1"/>
    <col min="10985" max="10985" width="8.6640625" style="97"/>
    <col min="10986" max="10986" width="18" style="97" bestFit="1" customWidth="1"/>
    <col min="10987" max="10988" width="8.6640625" style="97"/>
    <col min="10989" max="10989" width="21.6640625" style="97" customWidth="1"/>
    <col min="10990" max="10990" width="9.44140625" style="97" bestFit="1" customWidth="1"/>
    <col min="10991" max="11233" width="8.6640625" style="97"/>
    <col min="11234" max="11234" width="12.6640625" style="97" customWidth="1"/>
    <col min="11235" max="11235" width="60.33203125" style="97" customWidth="1"/>
    <col min="11236" max="11237" width="12.6640625" style="97" customWidth="1"/>
    <col min="11238" max="11238" width="12.33203125" style="97" bestFit="1" customWidth="1"/>
    <col min="11239" max="11239" width="15.6640625" style="97" customWidth="1"/>
    <col min="11240" max="11240" width="17.6640625" style="97" bestFit="1" customWidth="1"/>
    <col min="11241" max="11241" width="8.6640625" style="97"/>
    <col min="11242" max="11242" width="18" style="97" bestFit="1" customWidth="1"/>
    <col min="11243" max="11244" width="8.6640625" style="97"/>
    <col min="11245" max="11245" width="21.6640625" style="97" customWidth="1"/>
    <col min="11246" max="11246" width="9.44140625" style="97" bestFit="1" customWidth="1"/>
    <col min="11247" max="11489" width="8.6640625" style="97"/>
    <col min="11490" max="11490" width="12.6640625" style="97" customWidth="1"/>
    <col min="11491" max="11491" width="60.33203125" style="97" customWidth="1"/>
    <col min="11492" max="11493" width="12.6640625" style="97" customWidth="1"/>
    <col min="11494" max="11494" width="12.33203125" style="97" bestFit="1" customWidth="1"/>
    <col min="11495" max="11495" width="15.6640625" style="97" customWidth="1"/>
    <col min="11496" max="11496" width="17.6640625" style="97" bestFit="1" customWidth="1"/>
    <col min="11497" max="11497" width="8.6640625" style="97"/>
    <col min="11498" max="11498" width="18" style="97" bestFit="1" customWidth="1"/>
    <col min="11499" max="11500" width="8.6640625" style="97"/>
    <col min="11501" max="11501" width="21.6640625" style="97" customWidth="1"/>
    <col min="11502" max="11502" width="9.44140625" style="97" bestFit="1" customWidth="1"/>
    <col min="11503" max="11745" width="8.6640625" style="97"/>
    <col min="11746" max="11746" width="12.6640625" style="97" customWidth="1"/>
    <col min="11747" max="11747" width="60.33203125" style="97" customWidth="1"/>
    <col min="11748" max="11749" width="12.6640625" style="97" customWidth="1"/>
    <col min="11750" max="11750" width="12.33203125" style="97" bestFit="1" customWidth="1"/>
    <col min="11751" max="11751" width="15.6640625" style="97" customWidth="1"/>
    <col min="11752" max="11752" width="17.6640625" style="97" bestFit="1" customWidth="1"/>
    <col min="11753" max="11753" width="8.6640625" style="97"/>
    <col min="11754" max="11754" width="18" style="97" bestFit="1" customWidth="1"/>
    <col min="11755" max="11756" width="8.6640625" style="97"/>
    <col min="11757" max="11757" width="21.6640625" style="97" customWidth="1"/>
    <col min="11758" max="11758" width="9.44140625" style="97" bestFit="1" customWidth="1"/>
    <col min="11759" max="12001" width="8.6640625" style="97"/>
    <col min="12002" max="12002" width="12.6640625" style="97" customWidth="1"/>
    <col min="12003" max="12003" width="60.33203125" style="97" customWidth="1"/>
    <col min="12004" max="12005" width="12.6640625" style="97" customWidth="1"/>
    <col min="12006" max="12006" width="12.33203125" style="97" bestFit="1" customWidth="1"/>
    <col min="12007" max="12007" width="15.6640625" style="97" customWidth="1"/>
    <col min="12008" max="12008" width="17.6640625" style="97" bestFit="1" customWidth="1"/>
    <col min="12009" max="12009" width="8.6640625" style="97"/>
    <col min="12010" max="12010" width="18" style="97" bestFit="1" customWidth="1"/>
    <col min="12011" max="12012" width="8.6640625" style="97"/>
    <col min="12013" max="12013" width="21.6640625" style="97" customWidth="1"/>
    <col min="12014" max="12014" width="9.44140625" style="97" bestFit="1" customWidth="1"/>
    <col min="12015" max="12257" width="8.6640625" style="97"/>
    <col min="12258" max="12258" width="12.6640625" style="97" customWidth="1"/>
    <col min="12259" max="12259" width="60.33203125" style="97" customWidth="1"/>
    <col min="12260" max="12261" width="12.6640625" style="97" customWidth="1"/>
    <col min="12262" max="12262" width="12.33203125" style="97" bestFit="1" customWidth="1"/>
    <col min="12263" max="12263" width="15.6640625" style="97" customWidth="1"/>
    <col min="12264" max="12264" width="17.6640625" style="97" bestFit="1" customWidth="1"/>
    <col min="12265" max="12265" width="8.6640625" style="97"/>
    <col min="12266" max="12266" width="18" style="97" bestFit="1" customWidth="1"/>
    <col min="12267" max="12268" width="8.6640625" style="97"/>
    <col min="12269" max="12269" width="21.6640625" style="97" customWidth="1"/>
    <col min="12270" max="12270" width="9.44140625" style="97" bestFit="1" customWidth="1"/>
    <col min="12271" max="12513" width="8.6640625" style="97"/>
    <col min="12514" max="12514" width="12.6640625" style="97" customWidth="1"/>
    <col min="12515" max="12515" width="60.33203125" style="97" customWidth="1"/>
    <col min="12516" max="12517" width="12.6640625" style="97" customWidth="1"/>
    <col min="12518" max="12518" width="12.33203125" style="97" bestFit="1" customWidth="1"/>
    <col min="12519" max="12519" width="15.6640625" style="97" customWidth="1"/>
    <col min="12520" max="12520" width="17.6640625" style="97" bestFit="1" customWidth="1"/>
    <col min="12521" max="12521" width="8.6640625" style="97"/>
    <col min="12522" max="12522" width="18" style="97" bestFit="1" customWidth="1"/>
    <col min="12523" max="12524" width="8.6640625" style="97"/>
    <col min="12525" max="12525" width="21.6640625" style="97" customWidth="1"/>
    <col min="12526" max="12526" width="9.44140625" style="97" bestFit="1" customWidth="1"/>
    <col min="12527" max="12769" width="8.6640625" style="97"/>
    <col min="12770" max="12770" width="12.6640625" style="97" customWidth="1"/>
    <col min="12771" max="12771" width="60.33203125" style="97" customWidth="1"/>
    <col min="12772" max="12773" width="12.6640625" style="97" customWidth="1"/>
    <col min="12774" max="12774" width="12.33203125" style="97" bestFit="1" customWidth="1"/>
    <col min="12775" max="12775" width="15.6640625" style="97" customWidth="1"/>
    <col min="12776" max="12776" width="17.6640625" style="97" bestFit="1" customWidth="1"/>
    <col min="12777" max="12777" width="8.6640625" style="97"/>
    <col min="12778" max="12778" width="18" style="97" bestFit="1" customWidth="1"/>
    <col min="12779" max="12780" width="8.6640625" style="97"/>
    <col min="12781" max="12781" width="21.6640625" style="97" customWidth="1"/>
    <col min="12782" max="12782" width="9.44140625" style="97" bestFit="1" customWidth="1"/>
    <col min="12783" max="13025" width="8.6640625" style="97"/>
    <col min="13026" max="13026" width="12.6640625" style="97" customWidth="1"/>
    <col min="13027" max="13027" width="60.33203125" style="97" customWidth="1"/>
    <col min="13028" max="13029" width="12.6640625" style="97" customWidth="1"/>
    <col min="13030" max="13030" width="12.33203125" style="97" bestFit="1" customWidth="1"/>
    <col min="13031" max="13031" width="15.6640625" style="97" customWidth="1"/>
    <col min="13032" max="13032" width="17.6640625" style="97" bestFit="1" customWidth="1"/>
    <col min="13033" max="13033" width="8.6640625" style="97"/>
    <col min="13034" max="13034" width="18" style="97" bestFit="1" customWidth="1"/>
    <col min="13035" max="13036" width="8.6640625" style="97"/>
    <col min="13037" max="13037" width="21.6640625" style="97" customWidth="1"/>
    <col min="13038" max="13038" width="9.44140625" style="97" bestFit="1" customWidth="1"/>
    <col min="13039" max="13281" width="8.6640625" style="97"/>
    <col min="13282" max="13282" width="12.6640625" style="97" customWidth="1"/>
    <col min="13283" max="13283" width="60.33203125" style="97" customWidth="1"/>
    <col min="13284" max="13285" width="12.6640625" style="97" customWidth="1"/>
    <col min="13286" max="13286" width="12.33203125" style="97" bestFit="1" customWidth="1"/>
    <col min="13287" max="13287" width="15.6640625" style="97" customWidth="1"/>
    <col min="13288" max="13288" width="17.6640625" style="97" bestFit="1" customWidth="1"/>
    <col min="13289" max="13289" width="8.6640625" style="97"/>
    <col min="13290" max="13290" width="18" style="97" bestFit="1" customWidth="1"/>
    <col min="13291" max="13292" width="8.6640625" style="97"/>
    <col min="13293" max="13293" width="21.6640625" style="97" customWidth="1"/>
    <col min="13294" max="13294" width="9.44140625" style="97" bestFit="1" customWidth="1"/>
    <col min="13295" max="13537" width="8.6640625" style="97"/>
    <col min="13538" max="13538" width="12.6640625" style="97" customWidth="1"/>
    <col min="13539" max="13539" width="60.33203125" style="97" customWidth="1"/>
    <col min="13540" max="13541" width="12.6640625" style="97" customWidth="1"/>
    <col min="13542" max="13542" width="12.33203125" style="97" bestFit="1" customWidth="1"/>
    <col min="13543" max="13543" width="15.6640625" style="97" customWidth="1"/>
    <col min="13544" max="13544" width="17.6640625" style="97" bestFit="1" customWidth="1"/>
    <col min="13545" max="13545" width="8.6640625" style="97"/>
    <col min="13546" max="13546" width="18" style="97" bestFit="1" customWidth="1"/>
    <col min="13547" max="13548" width="8.6640625" style="97"/>
    <col min="13549" max="13549" width="21.6640625" style="97" customWidth="1"/>
    <col min="13550" max="13550" width="9.44140625" style="97" bestFit="1" customWidth="1"/>
    <col min="13551" max="13793" width="8.6640625" style="97"/>
    <col min="13794" max="13794" width="12.6640625" style="97" customWidth="1"/>
    <col min="13795" max="13795" width="60.33203125" style="97" customWidth="1"/>
    <col min="13796" max="13797" width="12.6640625" style="97" customWidth="1"/>
    <col min="13798" max="13798" width="12.33203125" style="97" bestFit="1" customWidth="1"/>
    <col min="13799" max="13799" width="15.6640625" style="97" customWidth="1"/>
    <col min="13800" max="13800" width="17.6640625" style="97" bestFit="1" customWidth="1"/>
    <col min="13801" max="13801" width="8.6640625" style="97"/>
    <col min="13802" max="13802" width="18" style="97" bestFit="1" customWidth="1"/>
    <col min="13803" max="13804" width="8.6640625" style="97"/>
    <col min="13805" max="13805" width="21.6640625" style="97" customWidth="1"/>
    <col min="13806" max="13806" width="9.44140625" style="97" bestFit="1" customWidth="1"/>
    <col min="13807" max="14049" width="8.6640625" style="97"/>
    <col min="14050" max="14050" width="12.6640625" style="97" customWidth="1"/>
    <col min="14051" max="14051" width="60.33203125" style="97" customWidth="1"/>
    <col min="14052" max="14053" width="12.6640625" style="97" customWidth="1"/>
    <col min="14054" max="14054" width="12.33203125" style="97" bestFit="1" customWidth="1"/>
    <col min="14055" max="14055" width="15.6640625" style="97" customWidth="1"/>
    <col min="14056" max="14056" width="17.6640625" style="97" bestFit="1" customWidth="1"/>
    <col min="14057" max="14057" width="8.6640625" style="97"/>
    <col min="14058" max="14058" width="18" style="97" bestFit="1" customWidth="1"/>
    <col min="14059" max="14060" width="8.6640625" style="97"/>
    <col min="14061" max="14061" width="21.6640625" style="97" customWidth="1"/>
    <col min="14062" max="14062" width="9.44140625" style="97" bestFit="1" customWidth="1"/>
    <col min="14063" max="14305" width="8.6640625" style="97"/>
    <col min="14306" max="14306" width="12.6640625" style="97" customWidth="1"/>
    <col min="14307" max="14307" width="60.33203125" style="97" customWidth="1"/>
    <col min="14308" max="14309" width="12.6640625" style="97" customWidth="1"/>
    <col min="14310" max="14310" width="12.33203125" style="97" bestFit="1" customWidth="1"/>
    <col min="14311" max="14311" width="15.6640625" style="97" customWidth="1"/>
    <col min="14312" max="14312" width="17.6640625" style="97" bestFit="1" customWidth="1"/>
    <col min="14313" max="14313" width="8.6640625" style="97"/>
    <col min="14314" max="14314" width="18" style="97" bestFit="1" customWidth="1"/>
    <col min="14315" max="14316" width="8.6640625" style="97"/>
    <col min="14317" max="14317" width="21.6640625" style="97" customWidth="1"/>
    <col min="14318" max="14318" width="9.44140625" style="97" bestFit="1" customWidth="1"/>
    <col min="14319" max="14561" width="8.6640625" style="97"/>
    <col min="14562" max="14562" width="12.6640625" style="97" customWidth="1"/>
    <col min="14563" max="14563" width="60.33203125" style="97" customWidth="1"/>
    <col min="14564" max="14565" width="12.6640625" style="97" customWidth="1"/>
    <col min="14566" max="14566" width="12.33203125" style="97" bestFit="1" customWidth="1"/>
    <col min="14567" max="14567" width="15.6640625" style="97" customWidth="1"/>
    <col min="14568" max="14568" width="17.6640625" style="97" bestFit="1" customWidth="1"/>
    <col min="14569" max="14569" width="8.6640625" style="97"/>
    <col min="14570" max="14570" width="18" style="97" bestFit="1" customWidth="1"/>
    <col min="14571" max="14572" width="8.6640625" style="97"/>
    <col min="14573" max="14573" width="21.6640625" style="97" customWidth="1"/>
    <col min="14574" max="14574" width="9.44140625" style="97" bestFit="1" customWidth="1"/>
    <col min="14575" max="14817" width="8.6640625" style="97"/>
    <col min="14818" max="14818" width="12.6640625" style="97" customWidth="1"/>
    <col min="14819" max="14819" width="60.33203125" style="97" customWidth="1"/>
    <col min="14820" max="14821" width="12.6640625" style="97" customWidth="1"/>
    <col min="14822" max="14822" width="12.33203125" style="97" bestFit="1" customWidth="1"/>
    <col min="14823" max="14823" width="15.6640625" style="97" customWidth="1"/>
    <col min="14824" max="14824" width="17.6640625" style="97" bestFit="1" customWidth="1"/>
    <col min="14825" max="14825" width="8.6640625" style="97"/>
    <col min="14826" max="14826" width="18" style="97" bestFit="1" customWidth="1"/>
    <col min="14827" max="14828" width="8.6640625" style="97"/>
    <col min="14829" max="14829" width="21.6640625" style="97" customWidth="1"/>
    <col min="14830" max="14830" width="9.44140625" style="97" bestFit="1" customWidth="1"/>
    <col min="14831" max="15073" width="8.6640625" style="97"/>
    <col min="15074" max="15074" width="12.6640625" style="97" customWidth="1"/>
    <col min="15075" max="15075" width="60.33203125" style="97" customWidth="1"/>
    <col min="15076" max="15077" width="12.6640625" style="97" customWidth="1"/>
    <col min="15078" max="15078" width="12.33203125" style="97" bestFit="1" customWidth="1"/>
    <col min="15079" max="15079" width="15.6640625" style="97" customWidth="1"/>
    <col min="15080" max="15080" width="17.6640625" style="97" bestFit="1" customWidth="1"/>
    <col min="15081" max="15081" width="8.6640625" style="97"/>
    <col min="15082" max="15082" width="18" style="97" bestFit="1" customWidth="1"/>
    <col min="15083" max="15084" width="8.6640625" style="97"/>
    <col min="15085" max="15085" width="21.6640625" style="97" customWidth="1"/>
    <col min="15086" max="15086" width="9.44140625" style="97" bestFit="1" customWidth="1"/>
    <col min="15087" max="15329" width="8.6640625" style="97"/>
    <col min="15330" max="15330" width="12.6640625" style="97" customWidth="1"/>
    <col min="15331" max="15331" width="60.33203125" style="97" customWidth="1"/>
    <col min="15332" max="15333" width="12.6640625" style="97" customWidth="1"/>
    <col min="15334" max="15334" width="12.33203125" style="97" bestFit="1" customWidth="1"/>
    <col min="15335" max="15335" width="15.6640625" style="97" customWidth="1"/>
    <col min="15336" max="15336" width="17.6640625" style="97" bestFit="1" customWidth="1"/>
    <col min="15337" max="15337" width="8.6640625" style="97"/>
    <col min="15338" max="15338" width="18" style="97" bestFit="1" customWidth="1"/>
    <col min="15339" max="15340" width="8.6640625" style="97"/>
    <col min="15341" max="15341" width="21.6640625" style="97" customWidth="1"/>
    <col min="15342" max="15342" width="9.44140625" style="97" bestFit="1" customWidth="1"/>
    <col min="15343" max="15585" width="8.6640625" style="97"/>
    <col min="15586" max="15586" width="12.6640625" style="97" customWidth="1"/>
    <col min="15587" max="15587" width="60.33203125" style="97" customWidth="1"/>
    <col min="15588" max="15589" width="12.6640625" style="97" customWidth="1"/>
    <col min="15590" max="15590" width="12.33203125" style="97" bestFit="1" customWidth="1"/>
    <col min="15591" max="15591" width="15.6640625" style="97" customWidth="1"/>
    <col min="15592" max="15592" width="17.6640625" style="97" bestFit="1" customWidth="1"/>
    <col min="15593" max="15593" width="8.6640625" style="97"/>
    <col min="15594" max="15594" width="18" style="97" bestFit="1" customWidth="1"/>
    <col min="15595" max="15596" width="8.6640625" style="97"/>
    <col min="15597" max="15597" width="21.6640625" style="97" customWidth="1"/>
    <col min="15598" max="15598" width="9.44140625" style="97" bestFit="1" customWidth="1"/>
    <col min="15599" max="15841" width="8.6640625" style="97"/>
    <col min="15842" max="15842" width="12.6640625" style="97" customWidth="1"/>
    <col min="15843" max="15843" width="60.33203125" style="97" customWidth="1"/>
    <col min="15844" max="15845" width="12.6640625" style="97" customWidth="1"/>
    <col min="15846" max="15846" width="12.33203125" style="97" bestFit="1" customWidth="1"/>
    <col min="15847" max="15847" width="15.6640625" style="97" customWidth="1"/>
    <col min="15848" max="15848" width="17.6640625" style="97" bestFit="1" customWidth="1"/>
    <col min="15849" max="15849" width="8.6640625" style="97"/>
    <col min="15850" max="15850" width="18" style="97" bestFit="1" customWidth="1"/>
    <col min="15851" max="15852" width="8.6640625" style="97"/>
    <col min="15853" max="15853" width="21.6640625" style="97" customWidth="1"/>
    <col min="15854" max="15854" width="9.44140625" style="97" bestFit="1" customWidth="1"/>
    <col min="15855" max="16097" width="8.6640625" style="97"/>
    <col min="16098" max="16098" width="12.6640625" style="97" customWidth="1"/>
    <col min="16099" max="16099" width="60.33203125" style="97" customWidth="1"/>
    <col min="16100" max="16101" width="12.6640625" style="97" customWidth="1"/>
    <col min="16102" max="16102" width="12.33203125" style="97" bestFit="1" customWidth="1"/>
    <col min="16103" max="16103" width="15.6640625" style="97" customWidth="1"/>
    <col min="16104" max="16104" width="17.6640625" style="97" bestFit="1" customWidth="1"/>
    <col min="16105" max="16105" width="8.6640625" style="97"/>
    <col min="16106" max="16106" width="18" style="97" bestFit="1" customWidth="1"/>
    <col min="16107" max="16108" width="8.6640625" style="97"/>
    <col min="16109" max="16109" width="21.6640625" style="97" customWidth="1"/>
    <col min="16110" max="16110" width="9.44140625" style="97" bestFit="1" customWidth="1"/>
    <col min="16111" max="16384" width="8.6640625" style="97"/>
  </cols>
  <sheetData>
    <row r="1" spans="1:17" ht="81" customHeight="1" thickBot="1">
      <c r="A1" s="538" t="s">
        <v>94</v>
      </c>
      <c r="B1" s="539"/>
      <c r="C1" s="540" t="str">
        <f>'Custo Gerencial LOTE 03'!C2:E2</f>
        <v>BR-364/365/GO/MG (Ecovias do Cerrado)
BR-080/153/414/GO/TO (ECO 153)</v>
      </c>
      <c r="D1" s="540"/>
      <c r="E1" s="540"/>
      <c r="F1" s="293"/>
      <c r="G1" s="293"/>
      <c r="H1" s="143">
        <f>'Custo Gerencial LOTE 03'!C3</f>
        <v>1287.7</v>
      </c>
    </row>
    <row r="2" spans="1:17" ht="19.95" customHeight="1" thickBot="1">
      <c r="A2" s="98"/>
      <c r="B2" s="99"/>
      <c r="C2" s="99"/>
      <c r="D2" s="99"/>
      <c r="E2" s="100"/>
      <c r="F2" s="100"/>
      <c r="G2" s="100"/>
      <c r="L2" s="101" t="s">
        <v>95</v>
      </c>
      <c r="M2" s="67">
        <v>400</v>
      </c>
    </row>
    <row r="3" spans="1:17" ht="19.95" customHeight="1">
      <c r="A3" s="144" t="s">
        <v>75</v>
      </c>
      <c r="B3" s="535" t="s">
        <v>76</v>
      </c>
      <c r="C3" s="535"/>
      <c r="D3" s="535"/>
      <c r="E3" s="535"/>
      <c r="F3" s="536"/>
      <c r="G3" s="536"/>
      <c r="H3" s="537"/>
      <c r="L3" s="541" t="s">
        <v>96</v>
      </c>
      <c r="M3" s="542"/>
      <c r="N3" s="542"/>
      <c r="O3" s="542"/>
      <c r="P3" s="542"/>
      <c r="Q3" s="543"/>
    </row>
    <row r="4" spans="1:17" ht="19.95" customHeight="1">
      <c r="A4" s="102" t="s">
        <v>12</v>
      </c>
      <c r="B4" s="103" t="s">
        <v>14</v>
      </c>
      <c r="C4" s="103" t="s">
        <v>15</v>
      </c>
      <c r="D4" s="103" t="s">
        <v>16</v>
      </c>
      <c r="E4" s="103" t="s">
        <v>97</v>
      </c>
      <c r="F4" s="294" t="s">
        <v>255</v>
      </c>
      <c r="G4" s="294" t="s">
        <v>257</v>
      </c>
      <c r="H4" s="104" t="s">
        <v>98</v>
      </c>
      <c r="L4" s="209" t="s">
        <v>99</v>
      </c>
      <c r="M4" s="210" t="s">
        <v>100</v>
      </c>
      <c r="N4" s="210" t="s">
        <v>101</v>
      </c>
      <c r="O4" s="210" t="s">
        <v>102</v>
      </c>
      <c r="P4" s="210" t="s">
        <v>103</v>
      </c>
      <c r="Q4" s="210" t="s">
        <v>104</v>
      </c>
    </row>
    <row r="5" spans="1:17" ht="19.95" customHeight="1">
      <c r="A5" s="105"/>
      <c r="B5" s="35" t="str">
        <f>B3</f>
        <v>Relatório de Apoio na Análise da Monitoração do Pavimento</v>
      </c>
      <c r="C5" s="36"/>
      <c r="D5" s="106"/>
      <c r="E5" s="39"/>
      <c r="F5" s="295"/>
      <c r="G5" s="295"/>
      <c r="H5" s="345">
        <f>H23+H25</f>
        <v>1626803.3286357445</v>
      </c>
      <c r="L5" s="209" t="s">
        <v>105</v>
      </c>
      <c r="M5" s="211">
        <f>264*Q6</f>
        <v>2112</v>
      </c>
      <c r="N5" s="209">
        <v>12</v>
      </c>
      <c r="O5" s="209"/>
      <c r="P5" s="209"/>
      <c r="Q5" s="209"/>
    </row>
    <row r="6" spans="1:17" ht="19.95" customHeight="1">
      <c r="A6" s="105">
        <v>1</v>
      </c>
      <c r="B6" s="35" t="s">
        <v>106</v>
      </c>
      <c r="C6" s="36"/>
      <c r="D6" s="106"/>
      <c r="E6" s="39"/>
      <c r="F6" s="295"/>
      <c r="G6" s="351">
        <f>SUM(G7:G9)</f>
        <v>35608.05382158095</v>
      </c>
      <c r="H6" s="345">
        <f>SUM(H7:H9)</f>
        <v>39855.626761904765</v>
      </c>
      <c r="L6" s="209"/>
      <c r="M6" s="209"/>
      <c r="N6" s="209"/>
      <c r="O6" s="212">
        <f>P6*Q6</f>
        <v>176</v>
      </c>
      <c r="P6" s="209">
        <v>22</v>
      </c>
      <c r="Q6" s="212">
        <v>8</v>
      </c>
    </row>
    <row r="7" spans="1:17" ht="19.95" customHeight="1">
      <c r="A7" s="32" t="s">
        <v>655</v>
      </c>
      <c r="B7" s="37" t="str">
        <f>CONCATENATE(VLOOKUP(A7,'Planilha base'!$C$11:$K$35,9,FALSE)," - Pavimentação")</f>
        <v>Engenheiro de projetos sênior - Pavimentação</v>
      </c>
      <c r="C7" s="36" t="s">
        <v>107</v>
      </c>
      <c r="D7" s="179">
        <f>($J$7*$H$1)/$M$2</f>
        <v>283.29400000000004</v>
      </c>
      <c r="E7" s="343">
        <f>VLOOKUP(A7,'Planilha base'!$C$11:$K$35,6,FALSE)/'Planilha base'!$H$38</f>
        <v>76.099786289659704</v>
      </c>
      <c r="F7" s="284">
        <f>VLOOKUP(A7,'Planilha base'!$C$11:$K$35,4,FALSE)</f>
        <v>0.86</v>
      </c>
      <c r="G7" s="352">
        <f>D7*E7*F7</f>
        <v>18540.40705714286</v>
      </c>
      <c r="H7" s="346">
        <f>D7*E7</f>
        <v>21558.61285714286</v>
      </c>
      <c r="J7" s="108">
        <f>O7</f>
        <v>88</v>
      </c>
      <c r="L7" s="213"/>
      <c r="M7" s="213"/>
      <c r="N7" s="214">
        <v>0.5</v>
      </c>
      <c r="O7" s="212">
        <f>O6*(N7)</f>
        <v>88</v>
      </c>
      <c r="P7" s="213"/>
      <c r="Q7" s="213"/>
    </row>
    <row r="8" spans="1:17" ht="19.95" customHeight="1">
      <c r="A8" s="32" t="s">
        <v>651</v>
      </c>
      <c r="B8" s="37" t="str">
        <f>VLOOKUP(A8,'Planilha base'!$C$11:$K$35,9,FALSE)</f>
        <v>Engenheiro de projetos júnior</v>
      </c>
      <c r="C8" s="36" t="s">
        <v>107</v>
      </c>
      <c r="D8" s="179">
        <f>($J$7*$H$1)/$M$2</f>
        <v>283.29400000000004</v>
      </c>
      <c r="E8" s="343">
        <f>VLOOKUP(A8,'Planilha base'!$C$11:$K$35,6,FALSE)/'Planilha base'!$H$38</f>
        <v>51.235684147076547</v>
      </c>
      <c r="F8" s="284">
        <f>VLOOKUP(A8,'Planilha base'!$C$11:$K$35,4,FALSE)</f>
        <v>0.89</v>
      </c>
      <c r="G8" s="352">
        <f t="shared" ref="G8:G9" si="0">D8*E8*F8</f>
        <v>12918.138095238095</v>
      </c>
      <c r="H8" s="346">
        <f>D8*E8</f>
        <v>14514.761904761905</v>
      </c>
      <c r="N8" s="109"/>
      <c r="O8" s="110"/>
    </row>
    <row r="9" spans="1:17" ht="19.95" customHeight="1">
      <c r="A9" s="32" t="s">
        <v>719</v>
      </c>
      <c r="B9" s="37" t="str">
        <f>VLOOKUP(A9,'Planilha base'!$C$11:$K$35,9,FALSE)</f>
        <v>Técnico de obras</v>
      </c>
      <c r="C9" s="36" t="s">
        <v>107</v>
      </c>
      <c r="D9" s="179">
        <f>($J$7*$H$1)/$M$2</f>
        <v>283.29400000000004</v>
      </c>
      <c r="E9" s="343">
        <f>VLOOKUP(A9,'Planilha base'!$C$11:$K$35,6,FALSE)/'Planilha base'!$H$38</f>
        <v>13.350978135788262</v>
      </c>
      <c r="F9" s="284">
        <f>VLOOKUP(A9,'Planilha base'!$C$11:$K$35,4,FALSE)</f>
        <v>1.0971</v>
      </c>
      <c r="G9" s="352">
        <f t="shared" si="0"/>
        <v>4149.5086692000004</v>
      </c>
      <c r="H9" s="346">
        <f>D9*E9</f>
        <v>3782.2520000000004</v>
      </c>
      <c r="N9" s="82"/>
    </row>
    <row r="10" spans="1:17" ht="19.95" customHeight="1">
      <c r="A10" s="107"/>
      <c r="B10" s="37"/>
      <c r="C10" s="36"/>
      <c r="D10" s="111"/>
      <c r="E10" s="205"/>
      <c r="F10" s="284"/>
      <c r="G10" s="284"/>
      <c r="H10" s="346"/>
      <c r="Q10" s="112"/>
    </row>
    <row r="11" spans="1:17" ht="19.95" customHeight="1">
      <c r="A11" s="105">
        <v>2</v>
      </c>
      <c r="B11" s="35" t="s">
        <v>334</v>
      </c>
      <c r="C11" s="113"/>
      <c r="D11" s="106"/>
      <c r="E11" s="362"/>
      <c r="F11" s="285"/>
      <c r="G11" s="285"/>
      <c r="H11" s="345">
        <f>SUM(H12:H12)</f>
        <v>8617.9523226340698</v>
      </c>
      <c r="O11" s="114"/>
    </row>
    <row r="12" spans="1:17" ht="19.95" customHeight="1">
      <c r="A12" s="32" t="s">
        <v>335</v>
      </c>
      <c r="B12" s="45" t="s">
        <v>334</v>
      </c>
      <c r="C12" s="47" t="s">
        <v>52</v>
      </c>
      <c r="D12" s="111">
        <f>H6+G6</f>
        <v>75463.680583485722</v>
      </c>
      <c r="E12" s="206">
        <f>'Planilha base'!$H$39</f>
        <v>0.1142</v>
      </c>
      <c r="F12" s="281"/>
      <c r="G12" s="281"/>
      <c r="H12" s="346">
        <f>D12*E12</f>
        <v>8617.9523226340698</v>
      </c>
    </row>
    <row r="13" spans="1:17" ht="19.95" customHeight="1">
      <c r="A13" s="107"/>
      <c r="B13" s="37"/>
      <c r="C13" s="36"/>
      <c r="D13" s="111"/>
      <c r="E13" s="205"/>
      <c r="F13" s="284"/>
      <c r="G13" s="284"/>
      <c r="H13" s="346"/>
    </row>
    <row r="14" spans="1:17" ht="19.95" customHeight="1">
      <c r="A14" s="105">
        <v>3</v>
      </c>
      <c r="B14" s="35" t="s">
        <v>275</v>
      </c>
      <c r="C14" s="113"/>
      <c r="D14" s="106"/>
      <c r="E14" s="362"/>
      <c r="F14" s="285"/>
      <c r="G14" s="285"/>
      <c r="H14" s="345">
        <f>SUM(H15:H18)</f>
        <v>1093065.9294</v>
      </c>
    </row>
    <row r="15" spans="1:17" ht="19.95" customHeight="1">
      <c r="A15" s="32" t="s">
        <v>276</v>
      </c>
      <c r="B15" s="46" t="s">
        <v>273</v>
      </c>
      <c r="C15" s="304" t="s">
        <v>278</v>
      </c>
      <c r="D15" s="111">
        <f>SUM('Faixas de Rolamento'!H6,'Faixas de Rolamento'!H7)</f>
        <v>1718.9280000000001</v>
      </c>
      <c r="E15" s="343">
        <f>'Mapa de Preços'!I20</f>
        <v>281.84000000000003</v>
      </c>
      <c r="F15" s="281"/>
      <c r="G15" s="281"/>
      <c r="H15" s="346">
        <f>D15*E15</f>
        <v>484462.66752000008</v>
      </c>
    </row>
    <row r="16" spans="1:17" ht="19.95" customHeight="1">
      <c r="A16" s="107" t="s">
        <v>277</v>
      </c>
      <c r="B16" s="46" t="s">
        <v>274</v>
      </c>
      <c r="C16" s="304" t="s">
        <v>278</v>
      </c>
      <c r="D16" s="111">
        <f>SUM('Faixas de Rolamento'!I6,'Faixas de Rolamento'!I7)</f>
        <v>4297.32</v>
      </c>
      <c r="E16" s="343">
        <f>'Mapa de Preços'!I21</f>
        <v>60.494999999999997</v>
      </c>
      <c r="F16" s="284"/>
      <c r="G16" s="284"/>
      <c r="H16" s="346">
        <f t="shared" ref="H16:H18" si="1">D16*E16</f>
        <v>259966.37339999998</v>
      </c>
    </row>
    <row r="17" spans="1:18" ht="19.95" customHeight="1">
      <c r="A17" s="32" t="s">
        <v>280</v>
      </c>
      <c r="B17" s="46" t="s">
        <v>331</v>
      </c>
      <c r="C17" s="304" t="s">
        <v>278</v>
      </c>
      <c r="D17" s="111">
        <f>SUM('Faixas de Rolamento'!J6,'Faixas de Rolamento'!J7)</f>
        <v>1718.9280000000001</v>
      </c>
      <c r="E17" s="343">
        <f>'Mapa de Preços'!I22</f>
        <v>148.285</v>
      </c>
      <c r="F17" s="284"/>
      <c r="G17" s="284"/>
      <c r="H17" s="346">
        <f t="shared" si="1"/>
        <v>254891.23848</v>
      </c>
    </row>
    <row r="18" spans="1:18" ht="19.95" customHeight="1">
      <c r="A18" s="107" t="s">
        <v>281</v>
      </c>
      <c r="B18" s="46" t="s">
        <v>332</v>
      </c>
      <c r="C18" s="36" t="s">
        <v>279</v>
      </c>
      <c r="D18" s="111">
        <f>SUM('Faixas de Rolamento'!K6,'Faixas de Rolamento'!K7)</f>
        <v>388</v>
      </c>
      <c r="E18" s="343">
        <f>'Mapa de Preços'!I23</f>
        <v>241.61249999999998</v>
      </c>
      <c r="F18" s="284"/>
      <c r="G18" s="284"/>
      <c r="H18" s="346">
        <f t="shared" si="1"/>
        <v>93745.65</v>
      </c>
    </row>
    <row r="19" spans="1:18" ht="19.95" customHeight="1">
      <c r="A19" s="107"/>
      <c r="B19" s="37"/>
      <c r="C19" s="36"/>
      <c r="D19" s="111"/>
      <c r="E19" s="205"/>
      <c r="F19" s="284"/>
      <c r="G19" s="284"/>
      <c r="H19" s="346"/>
    </row>
    <row r="20" spans="1:18" ht="19.95" customHeight="1">
      <c r="A20" s="105">
        <v>4</v>
      </c>
      <c r="B20" s="35" t="s">
        <v>333</v>
      </c>
      <c r="C20" s="113"/>
      <c r="D20" s="106"/>
      <c r="E20" s="362"/>
      <c r="F20" s="285"/>
      <c r="G20" s="285"/>
      <c r="H20" s="345">
        <f>SUM(H21:H22)</f>
        <v>380356.38804962463</v>
      </c>
    </row>
    <row r="21" spans="1:18" s="116" customFormat="1" ht="19.95" customHeight="1">
      <c r="A21" s="32" t="s">
        <v>336</v>
      </c>
      <c r="B21" s="37" t="s">
        <v>67</v>
      </c>
      <c r="C21" s="47" t="s">
        <v>52</v>
      </c>
      <c r="D21" s="111">
        <f>H6+G6+H14</f>
        <v>1168529.6099834857</v>
      </c>
      <c r="E21" s="206">
        <f>'Planilha base'!$H$40</f>
        <v>0.12</v>
      </c>
      <c r="F21" s="281"/>
      <c r="G21" s="281"/>
      <c r="H21" s="346">
        <f>D21*E21</f>
        <v>140223.55319801829</v>
      </c>
    </row>
    <row r="22" spans="1:18" s="116" customFormat="1" ht="19.95" customHeight="1">
      <c r="A22" s="32" t="s">
        <v>108</v>
      </c>
      <c r="B22" s="37" t="s">
        <v>68</v>
      </c>
      <c r="C22" s="47" t="s">
        <v>52</v>
      </c>
      <c r="D22" s="111">
        <f>H6+G6+H14</f>
        <v>1168529.6099834857</v>
      </c>
      <c r="E22" s="206">
        <f>'Planilha base'!$H$41</f>
        <v>0.20550000000000002</v>
      </c>
      <c r="F22" s="281"/>
      <c r="G22" s="281"/>
      <c r="H22" s="346">
        <f>D22*E22</f>
        <v>240132.83485160631</v>
      </c>
    </row>
    <row r="23" spans="1:18" s="116" customFormat="1" ht="19.95" customHeight="1">
      <c r="A23" s="32"/>
      <c r="B23" s="37"/>
      <c r="C23" s="47"/>
      <c r="D23" s="111"/>
      <c r="E23" s="206"/>
      <c r="F23" s="281"/>
      <c r="G23" s="281"/>
      <c r="H23" s="345">
        <f>G6+H6+H11+H14+H20</f>
        <v>1557503.9503557445</v>
      </c>
    </row>
    <row r="24" spans="1:18" s="116" customFormat="1" ht="19.95" customHeight="1">
      <c r="A24" s="32"/>
      <c r="B24" s="37"/>
      <c r="C24" s="47"/>
      <c r="D24" s="111"/>
      <c r="E24" s="206"/>
      <c r="F24" s="281"/>
      <c r="G24" s="281"/>
      <c r="H24" s="346"/>
    </row>
    <row r="25" spans="1:18" s="116" customFormat="1" ht="19.95" customHeight="1">
      <c r="A25" s="117" t="s">
        <v>110</v>
      </c>
      <c r="B25" s="118" t="s">
        <v>19</v>
      </c>
      <c r="C25" s="119" t="s">
        <v>107</v>
      </c>
      <c r="D25" s="120">
        <f>SUM(D7:D9)</f>
        <v>849.88200000000006</v>
      </c>
      <c r="E25" s="349">
        <f>'Custo Gerencial LOTE 03'!$I$66</f>
        <v>81.540000000000006</v>
      </c>
      <c r="F25" s="296"/>
      <c r="G25" s="296"/>
      <c r="H25" s="347">
        <f>D25*E25</f>
        <v>69299.378280000004</v>
      </c>
    </row>
    <row r="26" spans="1:18" s="116" customFormat="1" ht="19.95" customHeight="1">
      <c r="A26" s="32"/>
      <c r="B26" s="37"/>
      <c r="C26" s="47"/>
      <c r="D26" s="111"/>
      <c r="E26" s="206"/>
      <c r="F26" s="281"/>
      <c r="G26" s="281"/>
      <c r="H26" s="346"/>
    </row>
    <row r="27" spans="1:18" s="116" customFormat="1" ht="19.95" customHeight="1" thickBot="1">
      <c r="A27" s="121"/>
      <c r="B27" s="122" t="s">
        <v>111</v>
      </c>
      <c r="C27" s="123" t="s">
        <v>57</v>
      </c>
      <c r="D27" s="124">
        <v>1</v>
      </c>
      <c r="E27" s="363">
        <f>H5</f>
        <v>1626803.3286357445</v>
      </c>
      <c r="F27" s="364"/>
      <c r="G27" s="364"/>
      <c r="H27" s="348">
        <f>E27*D27</f>
        <v>1626803.3286357445</v>
      </c>
      <c r="L27" s="125"/>
      <c r="M27" s="125"/>
      <c r="N27" s="125"/>
      <c r="O27" s="125"/>
      <c r="P27" s="125"/>
      <c r="Q27" s="125"/>
      <c r="R27" s="125"/>
    </row>
    <row r="28" spans="1:18" ht="19.95" customHeight="1" thickBot="1">
      <c r="A28" s="126"/>
      <c r="B28" s="126"/>
      <c r="C28" s="126"/>
      <c r="D28" s="126"/>
      <c r="E28" s="126"/>
      <c r="F28" s="126"/>
      <c r="G28" s="126"/>
      <c r="H28" s="126"/>
      <c r="L28" s="127"/>
      <c r="M28" s="127"/>
      <c r="N28" s="127"/>
      <c r="O28" s="127"/>
      <c r="P28" s="127"/>
      <c r="Q28" s="127"/>
      <c r="R28" s="127"/>
    </row>
    <row r="29" spans="1:18" ht="19.95" customHeight="1">
      <c r="A29" s="144" t="s">
        <v>77</v>
      </c>
      <c r="B29" s="535" t="s">
        <v>78</v>
      </c>
      <c r="C29" s="535"/>
      <c r="D29" s="535"/>
      <c r="E29" s="535"/>
      <c r="F29" s="536"/>
      <c r="G29" s="536"/>
      <c r="H29" s="537"/>
    </row>
    <row r="30" spans="1:18" ht="19.95" customHeight="1">
      <c r="A30" s="102" t="s">
        <v>12</v>
      </c>
      <c r="B30" s="103" t="s">
        <v>14</v>
      </c>
      <c r="C30" s="103" t="s">
        <v>15</v>
      </c>
      <c r="D30" s="103" t="s">
        <v>16</v>
      </c>
      <c r="E30" s="103" t="s">
        <v>97</v>
      </c>
      <c r="F30" s="294" t="s">
        <v>255</v>
      </c>
      <c r="G30" s="294" t="s">
        <v>257</v>
      </c>
      <c r="H30" s="104" t="s">
        <v>98</v>
      </c>
    </row>
    <row r="31" spans="1:18" ht="19.95" customHeight="1">
      <c r="A31" s="105"/>
      <c r="B31" s="35" t="str">
        <f>B29</f>
        <v>Relatório de Apoio na Análise da Monitoração da Sinalização Horizontal</v>
      </c>
      <c r="C31" s="36"/>
      <c r="D31" s="106"/>
      <c r="E31" s="39"/>
      <c r="F31" s="295"/>
      <c r="G31" s="351"/>
      <c r="H31" s="345">
        <f>H46+H48</f>
        <v>204956.43191762618</v>
      </c>
    </row>
    <row r="32" spans="1:18" ht="19.95" customHeight="1">
      <c r="A32" s="105">
        <v>1</v>
      </c>
      <c r="B32" s="35" t="s">
        <v>106</v>
      </c>
      <c r="C32" s="36"/>
      <c r="D32" s="106"/>
      <c r="E32" s="39"/>
      <c r="F32" s="295"/>
      <c r="G32" s="351">
        <f>SUM(G33:G35)</f>
        <v>17151.830020197402</v>
      </c>
      <c r="H32" s="345">
        <f>SUM(H33:H35)</f>
        <v>18894.824519480517</v>
      </c>
    </row>
    <row r="33" spans="1:10" ht="19.95" customHeight="1">
      <c r="A33" s="32" t="s">
        <v>653</v>
      </c>
      <c r="B33" s="45" t="str">
        <f>CONCATENATE(VLOOKUP(A33,'Planilha base'!$C$11:$K$35,9,FALSE)," - Sinalização")</f>
        <v>Engenheiro de projetos pleno - Sinalização</v>
      </c>
      <c r="C33" s="48" t="s">
        <v>107</v>
      </c>
      <c r="D33" s="180">
        <f>(J33*$H$1)/$M$2</f>
        <v>154.524</v>
      </c>
      <c r="E33" s="343">
        <f>VLOOKUP(A33,'Planilha base'!$C$11:$K$35,6,FALSE)/'Planilha base'!$H$38</f>
        <v>57.69094196942298</v>
      </c>
      <c r="F33" s="284">
        <f>VLOOKUP(A33,'Planilha base'!$C$11:$K$35,4,FALSE)</f>
        <v>0.87970000000000004</v>
      </c>
      <c r="G33" s="352">
        <f t="shared" ref="G33:G35" si="2">D33*E33*F33</f>
        <v>7842.2045123220787</v>
      </c>
      <c r="H33" s="353">
        <f>D33*E33</f>
        <v>8914.635116883117</v>
      </c>
      <c r="J33" s="97">
        <v>48</v>
      </c>
    </row>
    <row r="34" spans="1:10" ht="19.95" customHeight="1">
      <c r="A34" s="32" t="s">
        <v>651</v>
      </c>
      <c r="B34" s="37" t="str">
        <f>VLOOKUP(A34,'Planilha base'!$C$11:$K$35,9,FALSE)</f>
        <v>Engenheiro de projetos júnior</v>
      </c>
      <c r="C34" s="48" t="s">
        <v>107</v>
      </c>
      <c r="D34" s="180">
        <f>(J34*$H$1)/$M$2</f>
        <v>154.524</v>
      </c>
      <c r="E34" s="343">
        <f>VLOOKUP(A34,'Planilha base'!$C$11:$K$35,6,FALSE)/'Planilha base'!$H$38</f>
        <v>51.235684147076547</v>
      </c>
      <c r="F34" s="284">
        <f>VLOOKUP(A34,'Planilha base'!$C$11:$K$35,4,FALSE)</f>
        <v>0.89</v>
      </c>
      <c r="G34" s="352">
        <f t="shared" si="2"/>
        <v>7046.2571428571428</v>
      </c>
      <c r="H34" s="353">
        <f>D34*E34</f>
        <v>7917.1428571428569</v>
      </c>
      <c r="J34" s="97">
        <v>48</v>
      </c>
    </row>
    <row r="35" spans="1:10" ht="19.95" customHeight="1">
      <c r="A35" s="32" t="s">
        <v>719</v>
      </c>
      <c r="B35" s="37" t="str">
        <f>VLOOKUP(A35,'Planilha base'!$C$11:$K$35,9,FALSE)</f>
        <v>Técnico de obras</v>
      </c>
      <c r="C35" s="48" t="s">
        <v>107</v>
      </c>
      <c r="D35" s="180">
        <f>(J35*$H$1)/$M$2</f>
        <v>154.524</v>
      </c>
      <c r="E35" s="343">
        <f>VLOOKUP(A35,'Planilha base'!$C$11:$K$35,6,FALSE)/'Planilha base'!$H$38</f>
        <v>13.350978135788262</v>
      </c>
      <c r="F35" s="284">
        <f>VLOOKUP(A35,'Planilha base'!$C$11:$K$35,4,FALSE)</f>
        <v>1.0971</v>
      </c>
      <c r="G35" s="352">
        <f t="shared" si="2"/>
        <v>2263.368365018182</v>
      </c>
      <c r="H35" s="353">
        <f>D35*E35</f>
        <v>2063.0465454545456</v>
      </c>
      <c r="J35" s="97">
        <v>48</v>
      </c>
    </row>
    <row r="36" spans="1:10" ht="19.95" customHeight="1">
      <c r="A36" s="107"/>
      <c r="B36" s="45"/>
      <c r="C36" s="48"/>
      <c r="D36" s="29"/>
      <c r="E36" s="47"/>
      <c r="F36" s="255"/>
      <c r="G36" s="352"/>
      <c r="H36" s="353"/>
    </row>
    <row r="37" spans="1:10" ht="19.95" customHeight="1">
      <c r="A37" s="105">
        <v>2</v>
      </c>
      <c r="B37" s="35" t="s">
        <v>334</v>
      </c>
      <c r="C37" s="181"/>
      <c r="D37" s="40"/>
      <c r="E37" s="39"/>
      <c r="F37" s="295"/>
      <c r="G37" s="351"/>
      <c r="H37" s="354">
        <f>SUM(H38)</f>
        <v>4116.5279484312177</v>
      </c>
    </row>
    <row r="38" spans="1:10" ht="19.95" customHeight="1">
      <c r="A38" s="32" t="s">
        <v>335</v>
      </c>
      <c r="B38" s="45" t="s">
        <v>334</v>
      </c>
      <c r="C38" s="47" t="s">
        <v>52</v>
      </c>
      <c r="D38" s="29">
        <f>H32+G32</f>
        <v>36046.654539677918</v>
      </c>
      <c r="E38" s="206">
        <f>'Planilha base'!$H$39</f>
        <v>0.1142</v>
      </c>
      <c r="F38" s="281"/>
      <c r="G38" s="352"/>
      <c r="H38" s="353">
        <f>D38*E38</f>
        <v>4116.5279484312177</v>
      </c>
    </row>
    <row r="39" spans="1:10" ht="19.95" customHeight="1">
      <c r="A39" s="32"/>
      <c r="B39" s="45"/>
      <c r="C39" s="47"/>
      <c r="D39" s="29"/>
      <c r="E39" s="206"/>
      <c r="F39" s="281"/>
      <c r="G39" s="352"/>
      <c r="H39" s="353"/>
    </row>
    <row r="40" spans="1:10" ht="19.95" customHeight="1">
      <c r="A40" s="23">
        <v>3</v>
      </c>
      <c r="B40" s="317" t="s">
        <v>275</v>
      </c>
      <c r="C40" s="47"/>
      <c r="D40" s="29"/>
      <c r="E40" s="206"/>
      <c r="F40" s="281"/>
      <c r="G40" s="352"/>
      <c r="H40" s="354">
        <f>SUM(H41)</f>
        <v>85945.283025000012</v>
      </c>
    </row>
    <row r="41" spans="1:10" ht="19.95" customHeight="1">
      <c r="A41" s="32" t="s">
        <v>442</v>
      </c>
      <c r="B41" s="314" t="s">
        <v>288</v>
      </c>
      <c r="C41" s="315" t="s">
        <v>289</v>
      </c>
      <c r="D41" s="316">
        <f>0.45*$H$1</f>
        <v>579.46500000000003</v>
      </c>
      <c r="E41" s="318">
        <f>'Mapa de Preços'!I24/2</f>
        <v>148.31833333333336</v>
      </c>
      <c r="F41" s="281"/>
      <c r="G41" s="352"/>
      <c r="H41" s="353">
        <f>D41*E41</f>
        <v>85945.283025000012</v>
      </c>
    </row>
    <row r="42" spans="1:10" ht="19.95" customHeight="1">
      <c r="A42" s="32"/>
      <c r="B42" s="45"/>
      <c r="C42" s="47"/>
      <c r="D42" s="29"/>
      <c r="E42" s="206"/>
      <c r="F42" s="281"/>
      <c r="G42" s="352"/>
      <c r="H42" s="353"/>
    </row>
    <row r="43" spans="1:10" ht="19.95" customHeight="1">
      <c r="A43" s="105">
        <v>4</v>
      </c>
      <c r="B43" s="30" t="s">
        <v>109</v>
      </c>
      <c r="C43" s="181"/>
      <c r="D43" s="40"/>
      <c r="E43" s="39"/>
      <c r="F43" s="295"/>
      <c r="G43" s="351"/>
      <c r="H43" s="354">
        <f>SUM(H44:H45)</f>
        <v>41048.305524517025</v>
      </c>
    </row>
    <row r="44" spans="1:10" s="116" customFormat="1" ht="19.95" customHeight="1">
      <c r="A44" s="32" t="s">
        <v>336</v>
      </c>
      <c r="B44" s="45" t="s">
        <v>67</v>
      </c>
      <c r="C44" s="47" t="s">
        <v>52</v>
      </c>
      <c r="D44" s="29">
        <f>H32+G32+H37+H40</f>
        <v>126108.46551310914</v>
      </c>
      <c r="E44" s="206">
        <f>'Planilha base'!$H$40</f>
        <v>0.12</v>
      </c>
      <c r="F44" s="281"/>
      <c r="G44" s="352"/>
      <c r="H44" s="353">
        <f>D44*E44</f>
        <v>15133.015861573096</v>
      </c>
    </row>
    <row r="45" spans="1:10" s="116" customFormat="1" ht="19.95" customHeight="1">
      <c r="A45" s="32" t="s">
        <v>108</v>
      </c>
      <c r="B45" s="37" t="s">
        <v>68</v>
      </c>
      <c r="C45" s="47" t="s">
        <v>52</v>
      </c>
      <c r="D45" s="29">
        <f>H32+G32+H37+H40</f>
        <v>126108.46551310914</v>
      </c>
      <c r="E45" s="206">
        <f>'Planilha base'!$H$41</f>
        <v>0.20550000000000002</v>
      </c>
      <c r="F45" s="281"/>
      <c r="G45" s="352"/>
      <c r="H45" s="346">
        <f>D45*E45</f>
        <v>25915.289662943931</v>
      </c>
    </row>
    <row r="46" spans="1:10" s="116" customFormat="1" ht="19.95" customHeight="1">
      <c r="A46" s="32"/>
      <c r="B46" s="37"/>
      <c r="C46" s="47"/>
      <c r="D46" s="111"/>
      <c r="E46" s="206"/>
      <c r="F46" s="281"/>
      <c r="G46" s="352"/>
      <c r="H46" s="345">
        <f>H43+H40+H37+H32+G32</f>
        <v>167156.77103762617</v>
      </c>
    </row>
    <row r="47" spans="1:10" s="116" customFormat="1" ht="19.95" customHeight="1">
      <c r="A47" s="32"/>
      <c r="B47" s="37"/>
      <c r="C47" s="47"/>
      <c r="D47" s="111"/>
      <c r="E47" s="206"/>
      <c r="F47" s="281"/>
      <c r="G47" s="352"/>
      <c r="H47" s="346"/>
    </row>
    <row r="48" spans="1:10" s="116" customFormat="1" ht="19.95" customHeight="1">
      <c r="A48" s="117" t="s">
        <v>110</v>
      </c>
      <c r="B48" s="118" t="s">
        <v>19</v>
      </c>
      <c r="C48" s="119" t="s">
        <v>107</v>
      </c>
      <c r="D48" s="120">
        <f>SUM(D33:D35)</f>
        <v>463.572</v>
      </c>
      <c r="E48" s="349">
        <f>'Custo Gerencial LOTE 03'!$I$66</f>
        <v>81.540000000000006</v>
      </c>
      <c r="F48" s="296"/>
      <c r="G48" s="355"/>
      <c r="H48" s="347">
        <f>D48*E48</f>
        <v>37799.660880000003</v>
      </c>
    </row>
    <row r="49" spans="1:10" s="116" customFormat="1" ht="19.95" customHeight="1">
      <c r="A49" s="32"/>
      <c r="B49" s="37"/>
      <c r="C49" s="47"/>
      <c r="D49" s="111"/>
      <c r="E49" s="115"/>
      <c r="F49" s="254"/>
      <c r="G49" s="356"/>
      <c r="H49" s="346"/>
    </row>
    <row r="50" spans="1:10" s="116" customFormat="1" ht="19.95" customHeight="1" thickBot="1">
      <c r="A50" s="121"/>
      <c r="B50" s="122" t="s">
        <v>111</v>
      </c>
      <c r="C50" s="123" t="s">
        <v>57</v>
      </c>
      <c r="D50" s="124">
        <v>1</v>
      </c>
      <c r="E50" s="350">
        <f>H31</f>
        <v>204956.43191762618</v>
      </c>
      <c r="F50" s="297"/>
      <c r="G50" s="357"/>
      <c r="H50" s="348">
        <f>E50*D50</f>
        <v>204956.43191762618</v>
      </c>
    </row>
    <row r="51" spans="1:10" ht="19.95" customHeight="1" thickBot="1">
      <c r="A51" s="126"/>
      <c r="B51" s="126"/>
      <c r="C51" s="126"/>
      <c r="D51" s="126"/>
      <c r="E51" s="126"/>
      <c r="F51" s="126"/>
      <c r="G51" s="126"/>
      <c r="H51" s="126"/>
    </row>
    <row r="52" spans="1:10" ht="19.95" customHeight="1">
      <c r="A52" s="144" t="s">
        <v>79</v>
      </c>
      <c r="B52" s="535" t="s">
        <v>80</v>
      </c>
      <c r="C52" s="535"/>
      <c r="D52" s="535"/>
      <c r="E52" s="535"/>
      <c r="F52" s="536"/>
      <c r="G52" s="536"/>
      <c r="H52" s="537"/>
    </row>
    <row r="53" spans="1:10" ht="19.95" customHeight="1">
      <c r="A53" s="102" t="s">
        <v>12</v>
      </c>
      <c r="B53" s="103" t="s">
        <v>14</v>
      </c>
      <c r="C53" s="103" t="s">
        <v>15</v>
      </c>
      <c r="D53" s="103" t="s">
        <v>16</v>
      </c>
      <c r="E53" s="103" t="s">
        <v>97</v>
      </c>
      <c r="F53" s="294" t="s">
        <v>255</v>
      </c>
      <c r="G53" s="294" t="s">
        <v>257</v>
      </c>
      <c r="H53" s="104" t="s">
        <v>98</v>
      </c>
    </row>
    <row r="54" spans="1:10" ht="19.95" customHeight="1">
      <c r="A54" s="105"/>
      <c r="B54" s="35" t="str">
        <f>B52</f>
        <v>Relatório de Apoio na Análise da Monitoração da Sinalização Vertical</v>
      </c>
      <c r="C54" s="36"/>
      <c r="D54" s="106"/>
      <c r="E54" s="39"/>
      <c r="F54" s="295"/>
      <c r="G54" s="351"/>
      <c r="H54" s="345">
        <f>H69+H71</f>
        <v>145380.86653311385</v>
      </c>
    </row>
    <row r="55" spans="1:10" ht="19.95" customHeight="1">
      <c r="A55" s="105">
        <v>1</v>
      </c>
      <c r="B55" s="35" t="s">
        <v>106</v>
      </c>
      <c r="C55" s="36"/>
      <c r="D55" s="106"/>
      <c r="E55" s="39"/>
      <c r="F55" s="295"/>
      <c r="G55" s="351">
        <f>SUM(G56:G58)</f>
        <v>13081.843688321394</v>
      </c>
      <c r="H55" s="345">
        <f>SUM(H56:H58)</f>
        <v>14411.240117878788</v>
      </c>
    </row>
    <row r="56" spans="1:10" ht="19.95" customHeight="1">
      <c r="A56" s="32" t="s">
        <v>653</v>
      </c>
      <c r="B56" s="45" t="str">
        <f>CONCATENATE(VLOOKUP(A56,'Planilha base'!$C$11:$K$35,9,FALSE)," - Sinalização")</f>
        <v>Engenheiro de projetos pleno - Sinalização</v>
      </c>
      <c r="C56" s="48" t="s">
        <v>107</v>
      </c>
      <c r="D56" s="180">
        <f>(J56*$H$1)/$M$2</f>
        <v>117.8567425</v>
      </c>
      <c r="E56" s="343">
        <f>VLOOKUP(A56,'Planilha base'!$C$11:$K$35,6,FALSE)/'Planilha base'!$H$38</f>
        <v>57.69094196942298</v>
      </c>
      <c r="F56" s="284">
        <f>VLOOKUP(A56,'Planilha base'!$C$11:$K$35,4,FALSE)</f>
        <v>0.87970000000000004</v>
      </c>
      <c r="G56" s="352">
        <f t="shared" ref="G56:G58" si="3">D56*E56*F56</f>
        <v>5981.3147332523185</v>
      </c>
      <c r="H56" s="346">
        <f>D56*E56</f>
        <v>6799.2664922727272</v>
      </c>
      <c r="J56" s="128">
        <v>36.61</v>
      </c>
    </row>
    <row r="57" spans="1:10" ht="19.95" customHeight="1">
      <c r="A57" s="32" t="s">
        <v>651</v>
      </c>
      <c r="B57" s="37" t="str">
        <f>VLOOKUP(A57,'Planilha base'!$C$11:$K$35,9,FALSE)</f>
        <v>Engenheiro de projetos júnior</v>
      </c>
      <c r="C57" s="48" t="s">
        <v>107</v>
      </c>
      <c r="D57" s="180">
        <f>(J57*$H$1)/$M$2</f>
        <v>117.8567425</v>
      </c>
      <c r="E57" s="343">
        <f>VLOOKUP(A57,'Planilha base'!$C$11:$K$35,6,FALSE)/'Planilha base'!$H$38</f>
        <v>51.235684147076547</v>
      </c>
      <c r="F57" s="284">
        <f>VLOOKUP(A57,'Planilha base'!$C$11:$K$35,4,FALSE)</f>
        <v>0.89</v>
      </c>
      <c r="G57" s="352">
        <f t="shared" si="3"/>
        <v>5374.2390416666667</v>
      </c>
      <c r="H57" s="346">
        <f>D57*E57</f>
        <v>6038.4708333333328</v>
      </c>
      <c r="J57" s="128">
        <v>36.61</v>
      </c>
    </row>
    <row r="58" spans="1:10" ht="19.95" customHeight="1">
      <c r="A58" s="32" t="s">
        <v>719</v>
      </c>
      <c r="B58" s="37" t="str">
        <f>VLOOKUP(A58,'Planilha base'!$C$11:$K$35,9,FALSE)</f>
        <v>Técnico de obras</v>
      </c>
      <c r="C58" s="48" t="s">
        <v>107</v>
      </c>
      <c r="D58" s="180">
        <f>(J58*$H$1)/$M$2</f>
        <v>117.8567425</v>
      </c>
      <c r="E58" s="343">
        <f>VLOOKUP(A58,'Planilha base'!$C$11:$K$35,6,FALSE)/'Planilha base'!$H$38</f>
        <v>13.350978135788262</v>
      </c>
      <c r="F58" s="284">
        <f>VLOOKUP(A58,'Planilha base'!$C$11:$K$35,4,FALSE)</f>
        <v>1.0971</v>
      </c>
      <c r="G58" s="352">
        <f t="shared" si="3"/>
        <v>1726.289913402409</v>
      </c>
      <c r="H58" s="346">
        <f>D58*E58</f>
        <v>1573.5027922727272</v>
      </c>
      <c r="J58" s="128">
        <v>36.61</v>
      </c>
    </row>
    <row r="59" spans="1:10" ht="19.95" customHeight="1">
      <c r="A59" s="107"/>
      <c r="B59" s="45"/>
      <c r="C59" s="48"/>
      <c r="D59" s="29"/>
      <c r="E59" s="47"/>
      <c r="F59" s="255"/>
      <c r="G59" s="352"/>
      <c r="H59" s="346"/>
    </row>
    <row r="60" spans="1:10" ht="19.95" customHeight="1">
      <c r="A60" s="105">
        <v>2</v>
      </c>
      <c r="B60" s="35" t="s">
        <v>334</v>
      </c>
      <c r="C60" s="181"/>
      <c r="D60" s="40"/>
      <c r="E60" s="39"/>
      <c r="F60" s="295"/>
      <c r="G60" s="351"/>
      <c r="H60" s="345">
        <f>SUM(H61)</f>
        <v>3139.7101706680605</v>
      </c>
    </row>
    <row r="61" spans="1:10" ht="19.95" customHeight="1">
      <c r="A61" s="32" t="s">
        <v>335</v>
      </c>
      <c r="B61" s="45" t="s">
        <v>334</v>
      </c>
      <c r="C61" s="47" t="s">
        <v>52</v>
      </c>
      <c r="D61" s="29">
        <f>H55+G55</f>
        <v>27493.083806200182</v>
      </c>
      <c r="E61" s="206">
        <f>'Planilha base'!$H$39</f>
        <v>0.1142</v>
      </c>
      <c r="F61" s="281"/>
      <c r="G61" s="352"/>
      <c r="H61" s="346">
        <f>D61*E61</f>
        <v>3139.7101706680605</v>
      </c>
    </row>
    <row r="62" spans="1:10" ht="19.95" customHeight="1">
      <c r="A62" s="32"/>
      <c r="B62" s="45"/>
      <c r="C62" s="47"/>
      <c r="D62" s="29"/>
      <c r="E62" s="206"/>
      <c r="F62" s="281"/>
      <c r="G62" s="352"/>
      <c r="H62" s="353"/>
    </row>
    <row r="63" spans="1:10" ht="19.95" customHeight="1">
      <c r="A63" s="23">
        <v>3</v>
      </c>
      <c r="B63" s="317" t="s">
        <v>275</v>
      </c>
      <c r="C63" s="47"/>
      <c r="D63" s="29"/>
      <c r="E63" s="206"/>
      <c r="F63" s="281"/>
      <c r="G63" s="352"/>
      <c r="H63" s="345">
        <f>SUM(H64)</f>
        <v>57296.855350000013</v>
      </c>
    </row>
    <row r="64" spans="1:10" ht="19.95" customHeight="1">
      <c r="A64" s="32" t="s">
        <v>442</v>
      </c>
      <c r="B64" s="314" t="s">
        <v>337</v>
      </c>
      <c r="C64" s="315" t="s">
        <v>289</v>
      </c>
      <c r="D64" s="316">
        <f>0.3*$H$1</f>
        <v>386.31</v>
      </c>
      <c r="E64" s="343">
        <f>'Mapa de Preços'!I24/2</f>
        <v>148.31833333333336</v>
      </c>
      <c r="F64" s="281"/>
      <c r="G64" s="352"/>
      <c r="H64" s="346">
        <f>D64*E64</f>
        <v>57296.855350000013</v>
      </c>
    </row>
    <row r="65" spans="1:10" ht="19.95" customHeight="1">
      <c r="A65" s="107"/>
      <c r="B65" s="45"/>
      <c r="C65" s="48"/>
      <c r="D65" s="29"/>
      <c r="E65" s="47"/>
      <c r="F65" s="255"/>
      <c r="G65" s="352"/>
      <c r="H65" s="346"/>
    </row>
    <row r="66" spans="1:10" ht="19.95" customHeight="1">
      <c r="A66" s="105">
        <v>4</v>
      </c>
      <c r="B66" s="30" t="s">
        <v>109</v>
      </c>
      <c r="C66" s="181"/>
      <c r="D66" s="40"/>
      <c r="E66" s="39"/>
      <c r="F66" s="295"/>
      <c r="G66" s="351"/>
      <c r="H66" s="345">
        <f>SUM(H67:H68)</f>
        <v>28621.100855895609</v>
      </c>
    </row>
    <row r="67" spans="1:10" s="116" customFormat="1" ht="19.95" customHeight="1">
      <c r="A67" s="32" t="s">
        <v>336</v>
      </c>
      <c r="B67" s="45" t="s">
        <v>67</v>
      </c>
      <c r="C67" s="47" t="s">
        <v>52</v>
      </c>
      <c r="D67" s="29">
        <f>H63+H55+H60+G55</f>
        <v>87929.649326868239</v>
      </c>
      <c r="E67" s="206">
        <f>'Planilha base'!$H$40</f>
        <v>0.12</v>
      </c>
      <c r="F67" s="281"/>
      <c r="G67" s="352"/>
      <c r="H67" s="346">
        <f>D67*E67</f>
        <v>10551.557919224188</v>
      </c>
    </row>
    <row r="68" spans="1:10" s="116" customFormat="1" ht="19.95" customHeight="1">
      <c r="A68" s="32" t="s">
        <v>108</v>
      </c>
      <c r="B68" s="37" t="s">
        <v>68</v>
      </c>
      <c r="C68" s="47" t="s">
        <v>52</v>
      </c>
      <c r="D68" s="111">
        <f>H63+H55+H60+G55</f>
        <v>87929.649326868239</v>
      </c>
      <c r="E68" s="206">
        <f>'Planilha base'!$H$41</f>
        <v>0.20550000000000002</v>
      </c>
      <c r="F68" s="281"/>
      <c r="G68" s="352"/>
      <c r="H68" s="346">
        <f>D68*E68</f>
        <v>18069.542936671423</v>
      </c>
    </row>
    <row r="69" spans="1:10" s="116" customFormat="1" ht="19.95" customHeight="1">
      <c r="A69" s="32"/>
      <c r="B69" s="37"/>
      <c r="C69" s="47"/>
      <c r="D69" s="111"/>
      <c r="E69" s="206"/>
      <c r="F69" s="281"/>
      <c r="G69" s="352"/>
      <c r="H69" s="345">
        <f>H66+H63+H60+H55+G55</f>
        <v>116550.75018276385</v>
      </c>
    </row>
    <row r="70" spans="1:10" s="116" customFormat="1" ht="19.95" customHeight="1">
      <c r="A70" s="32"/>
      <c r="B70" s="37"/>
      <c r="C70" s="47"/>
      <c r="D70" s="111"/>
      <c r="E70" s="206"/>
      <c r="F70" s="281"/>
      <c r="G70" s="352"/>
      <c r="H70" s="346"/>
    </row>
    <row r="71" spans="1:10" s="116" customFormat="1" ht="19.95" customHeight="1">
      <c r="A71" s="117" t="s">
        <v>110</v>
      </c>
      <c r="B71" s="118" t="s">
        <v>19</v>
      </c>
      <c r="C71" s="119" t="s">
        <v>107</v>
      </c>
      <c r="D71" s="120">
        <f>SUM(D56:D58)</f>
        <v>353.57022749999999</v>
      </c>
      <c r="E71" s="349">
        <f>'Custo Gerencial LOTE 03'!$I$66</f>
        <v>81.540000000000006</v>
      </c>
      <c r="F71" s="296"/>
      <c r="G71" s="355"/>
      <c r="H71" s="347">
        <f>D71*E71</f>
        <v>28830.116350350003</v>
      </c>
    </row>
    <row r="72" spans="1:10" s="116" customFormat="1" ht="19.95" customHeight="1">
      <c r="A72" s="32"/>
      <c r="B72" s="37"/>
      <c r="C72" s="47"/>
      <c r="D72" s="111"/>
      <c r="E72" s="344"/>
      <c r="F72" s="254"/>
      <c r="G72" s="356"/>
      <c r="H72" s="346"/>
    </row>
    <row r="73" spans="1:10" s="116" customFormat="1" ht="19.95" customHeight="1" thickBot="1">
      <c r="A73" s="121"/>
      <c r="B73" s="122" t="s">
        <v>111</v>
      </c>
      <c r="C73" s="123" t="s">
        <v>57</v>
      </c>
      <c r="D73" s="124">
        <v>1</v>
      </c>
      <c r="E73" s="350">
        <f>H54</f>
        <v>145380.86653311385</v>
      </c>
      <c r="F73" s="297"/>
      <c r="G73" s="357"/>
      <c r="H73" s="348">
        <f>E73*D73</f>
        <v>145380.86653311385</v>
      </c>
    </row>
    <row r="74" spans="1:10" ht="19.95" customHeight="1" thickBot="1">
      <c r="A74" s="126"/>
      <c r="B74" s="126"/>
      <c r="C74" s="126"/>
      <c r="D74" s="126"/>
      <c r="E74" s="126"/>
      <c r="F74" s="126"/>
      <c r="G74" s="126"/>
      <c r="H74" s="126"/>
    </row>
    <row r="75" spans="1:10" ht="19.5" customHeight="1">
      <c r="A75" s="144" t="s">
        <v>81</v>
      </c>
      <c r="B75" s="535" t="s">
        <v>82</v>
      </c>
      <c r="C75" s="535"/>
      <c r="D75" s="535"/>
      <c r="E75" s="535"/>
      <c r="F75" s="536"/>
      <c r="G75" s="536"/>
      <c r="H75" s="537"/>
    </row>
    <row r="76" spans="1:10" ht="19.95" customHeight="1">
      <c r="A76" s="102" t="s">
        <v>12</v>
      </c>
      <c r="B76" s="103" t="s">
        <v>14</v>
      </c>
      <c r="C76" s="103" t="s">
        <v>15</v>
      </c>
      <c r="D76" s="103" t="s">
        <v>16</v>
      </c>
      <c r="E76" s="103" t="s">
        <v>97</v>
      </c>
      <c r="F76" s="294" t="s">
        <v>255</v>
      </c>
      <c r="G76" s="294" t="s">
        <v>257</v>
      </c>
      <c r="H76" s="104" t="s">
        <v>98</v>
      </c>
    </row>
    <row r="77" spans="1:10" ht="19.95" customHeight="1">
      <c r="A77" s="105"/>
      <c r="B77" s="35" t="str">
        <f>B75</f>
        <v>Relatório de Apoio na Análise da Monitoração das Obras de Arte Especial</v>
      </c>
      <c r="C77" s="36"/>
      <c r="D77" s="106"/>
      <c r="E77" s="39"/>
      <c r="F77" s="295"/>
      <c r="G77" s="351"/>
      <c r="H77" s="345">
        <f>H91+H89</f>
        <v>101211.11506886614</v>
      </c>
    </row>
    <row r="78" spans="1:10" ht="19.95" customHeight="1">
      <c r="A78" s="105">
        <v>1</v>
      </c>
      <c r="B78" s="35" t="s">
        <v>106</v>
      </c>
      <c r="C78" s="36"/>
      <c r="D78" s="106"/>
      <c r="E78" s="39"/>
      <c r="F78" s="295"/>
      <c r="G78" s="351">
        <f>SUM(G79:G81)</f>
        <v>20995.841214980603</v>
      </c>
      <c r="H78" s="345">
        <f>SUM(H79:H81)</f>
        <v>23844.063314880954</v>
      </c>
    </row>
    <row r="79" spans="1:10" ht="19.95" customHeight="1">
      <c r="A79" s="32" t="s">
        <v>655</v>
      </c>
      <c r="B79" s="37" t="str">
        <f>CONCATENATE(VLOOKUP(A79,'Planilha base'!$C$11:$K$35,9,FALSE)," - Obra de Arte Especial")</f>
        <v>Engenheiro de projetos sênior - Obra de Arte Especial</v>
      </c>
      <c r="C79" s="36" t="s">
        <v>107</v>
      </c>
      <c r="D79" s="179">
        <f>(J79*$H$1)/$M$2</f>
        <v>191.5131825</v>
      </c>
      <c r="E79" s="343">
        <f>VLOOKUP(A79,'Planilha base'!$C$11:$K$35,6,FALSE)/'Planilha base'!$H$38</f>
        <v>76.099786289659704</v>
      </c>
      <c r="F79" s="284">
        <f>VLOOKUP(A79,'Planilha base'!$C$11:$K$35,4,FALSE)</f>
        <v>0.86</v>
      </c>
      <c r="G79" s="352">
        <f t="shared" ref="G79:G81" si="4">D79*E79*F79</f>
        <v>12533.736543516234</v>
      </c>
      <c r="H79" s="346">
        <f>D79*E79</f>
        <v>14574.112259902597</v>
      </c>
      <c r="J79" s="128">
        <v>59.49</v>
      </c>
    </row>
    <row r="80" spans="1:10" ht="19.95" customHeight="1">
      <c r="A80" s="32" t="s">
        <v>651</v>
      </c>
      <c r="B80" s="37" t="str">
        <f>VLOOKUP(A80,'Planilha base'!$C$11:$K$35,9,FALSE)</f>
        <v>Engenheiro de projetos júnior</v>
      </c>
      <c r="C80" s="36" t="s">
        <v>107</v>
      </c>
      <c r="D80" s="179">
        <f>(J80*$H$1)/$M$2</f>
        <v>160.96250000000001</v>
      </c>
      <c r="E80" s="343">
        <f>VLOOKUP(A80,'Planilha base'!$C$11:$K$35,6,FALSE)/'Planilha base'!$H$38</f>
        <v>51.235684147076547</v>
      </c>
      <c r="F80" s="284">
        <f>VLOOKUP(A80,'Planilha base'!$C$11:$K$35,4,FALSE)</f>
        <v>0.89</v>
      </c>
      <c r="G80" s="352">
        <f t="shared" si="4"/>
        <v>7339.8511904761899</v>
      </c>
      <c r="H80" s="346">
        <f>D80*E80</f>
        <v>8247.0238095238092</v>
      </c>
      <c r="J80" s="128">
        <v>50</v>
      </c>
    </row>
    <row r="81" spans="1:10" ht="19.95" customHeight="1">
      <c r="A81" s="32" t="s">
        <v>719</v>
      </c>
      <c r="B81" s="37" t="str">
        <f>VLOOKUP(A81,'Planilha base'!$C$11:$K$35,9,FALSE)</f>
        <v>Técnico de obras</v>
      </c>
      <c r="C81" s="36" t="s">
        <v>107</v>
      </c>
      <c r="D81" s="179">
        <f>(J81*$H$1)/$M$2</f>
        <v>76.61815</v>
      </c>
      <c r="E81" s="343">
        <f>VLOOKUP(A81,'Planilha base'!$C$11:$K$35,6,FALSE)/'Planilha base'!$H$38</f>
        <v>13.350978135788262</v>
      </c>
      <c r="F81" s="284">
        <f>VLOOKUP(A81,'Planilha base'!$C$11:$K$35,4,FALSE)</f>
        <v>1.0971</v>
      </c>
      <c r="G81" s="352">
        <f t="shared" si="4"/>
        <v>1122.2534809881818</v>
      </c>
      <c r="H81" s="346">
        <f>D81*E81</f>
        <v>1022.9272454545454</v>
      </c>
      <c r="J81" s="128">
        <v>23.8</v>
      </c>
    </row>
    <row r="82" spans="1:10" ht="19.95" customHeight="1">
      <c r="A82" s="107"/>
      <c r="B82" s="37"/>
      <c r="C82" s="36"/>
      <c r="D82" s="111"/>
      <c r="E82" s="47"/>
      <c r="F82" s="255"/>
      <c r="G82" s="352"/>
      <c r="H82" s="346"/>
    </row>
    <row r="83" spans="1:10" ht="19.95" customHeight="1">
      <c r="A83" s="105">
        <v>2</v>
      </c>
      <c r="B83" s="35" t="s">
        <v>334</v>
      </c>
      <c r="C83" s="113"/>
      <c r="D83" s="106"/>
      <c r="E83" s="39"/>
      <c r="F83" s="295"/>
      <c r="G83" s="351"/>
      <c r="H83" s="345">
        <f>SUM(H84)</f>
        <v>5120.7170973101893</v>
      </c>
    </row>
    <row r="84" spans="1:10" s="116" customFormat="1" ht="19.95" customHeight="1">
      <c r="A84" s="32" t="s">
        <v>335</v>
      </c>
      <c r="B84" s="45" t="s">
        <v>334</v>
      </c>
      <c r="C84" s="47" t="s">
        <v>52</v>
      </c>
      <c r="D84" s="111">
        <f>H78+G78</f>
        <v>44839.904529861553</v>
      </c>
      <c r="E84" s="206">
        <f>'Planilha base'!$H$39</f>
        <v>0.1142</v>
      </c>
      <c r="F84" s="281"/>
      <c r="G84" s="352"/>
      <c r="H84" s="346">
        <f>D84*E84</f>
        <v>5120.7170973101893</v>
      </c>
    </row>
    <row r="85" spans="1:10" s="116" customFormat="1" ht="19.95" customHeight="1">
      <c r="A85" s="32"/>
      <c r="B85" s="37"/>
      <c r="C85" s="47"/>
      <c r="D85" s="111"/>
      <c r="E85" s="206"/>
      <c r="F85" s="281"/>
      <c r="G85" s="352"/>
      <c r="H85" s="346"/>
    </row>
    <row r="86" spans="1:10" ht="19.95" customHeight="1">
      <c r="A86" s="105">
        <v>3</v>
      </c>
      <c r="B86" s="35" t="s">
        <v>109</v>
      </c>
      <c r="C86" s="113"/>
      <c r="D86" s="106"/>
      <c r="E86" s="39"/>
      <c r="F86" s="295"/>
      <c r="G86" s="351"/>
      <c r="H86" s="345">
        <f>SUM(H87:H88)</f>
        <v>16262.182339644403</v>
      </c>
    </row>
    <row r="87" spans="1:10" s="116" customFormat="1" ht="19.95" customHeight="1">
      <c r="A87" s="32" t="s">
        <v>336</v>
      </c>
      <c r="B87" s="37" t="s">
        <v>67</v>
      </c>
      <c r="C87" s="47" t="s">
        <v>52</v>
      </c>
      <c r="D87" s="111">
        <f>H78+H83+G78</f>
        <v>49960.621627171742</v>
      </c>
      <c r="E87" s="206">
        <f>'Planilha base'!$H$40</f>
        <v>0.12</v>
      </c>
      <c r="F87" s="281"/>
      <c r="G87" s="352"/>
      <c r="H87" s="346">
        <f>D87*E87</f>
        <v>5995.2745952606092</v>
      </c>
    </row>
    <row r="88" spans="1:10" s="116" customFormat="1" ht="19.95" customHeight="1">
      <c r="A88" s="32" t="s">
        <v>108</v>
      </c>
      <c r="B88" s="37" t="s">
        <v>68</v>
      </c>
      <c r="C88" s="47" t="s">
        <v>52</v>
      </c>
      <c r="D88" s="111">
        <f>H78+H83+G78</f>
        <v>49960.621627171742</v>
      </c>
      <c r="E88" s="206">
        <f>'Planilha base'!$H$41</f>
        <v>0.20550000000000002</v>
      </c>
      <c r="F88" s="281"/>
      <c r="G88" s="352"/>
      <c r="H88" s="346">
        <f>D88*E88</f>
        <v>10266.907744383794</v>
      </c>
    </row>
    <row r="89" spans="1:10" s="116" customFormat="1" ht="19.95" customHeight="1">
      <c r="A89" s="32"/>
      <c r="B89" s="37"/>
      <c r="C89" s="47"/>
      <c r="D89" s="111"/>
      <c r="E89" s="115"/>
      <c r="F89" s="254"/>
      <c r="G89" s="356"/>
      <c r="H89" s="345">
        <f>H86+H83+H78+G78</f>
        <v>66222.803966816136</v>
      </c>
    </row>
    <row r="90" spans="1:10" s="116" customFormat="1" ht="19.95" customHeight="1">
      <c r="A90" s="32"/>
      <c r="B90" s="37"/>
      <c r="C90" s="47"/>
      <c r="D90" s="111"/>
      <c r="E90" s="115"/>
      <c r="F90" s="254"/>
      <c r="G90" s="356"/>
      <c r="H90" s="346"/>
    </row>
    <row r="91" spans="1:10" s="116" customFormat="1" ht="19.95" customHeight="1">
      <c r="A91" s="117" t="s">
        <v>110</v>
      </c>
      <c r="B91" s="118" t="s">
        <v>19</v>
      </c>
      <c r="C91" s="119" t="s">
        <v>107</v>
      </c>
      <c r="D91" s="120">
        <f>SUM(D79:D81)</f>
        <v>429.09383250000002</v>
      </c>
      <c r="E91" s="349">
        <f>'Custo Gerencial LOTE 03'!$I$66</f>
        <v>81.540000000000006</v>
      </c>
      <c r="F91" s="296"/>
      <c r="G91" s="355"/>
      <c r="H91" s="347">
        <f>D91*E91</f>
        <v>34988.311102050007</v>
      </c>
    </row>
    <row r="92" spans="1:10" s="116" customFormat="1" ht="19.95" customHeight="1">
      <c r="A92" s="32"/>
      <c r="B92" s="37"/>
      <c r="C92" s="47"/>
      <c r="D92" s="111"/>
      <c r="E92" s="344"/>
      <c r="F92" s="254"/>
      <c r="G92" s="356"/>
      <c r="H92" s="346"/>
    </row>
    <row r="93" spans="1:10" s="116" customFormat="1" ht="19.95" customHeight="1" thickBot="1">
      <c r="A93" s="121"/>
      <c r="B93" s="122" t="s">
        <v>111</v>
      </c>
      <c r="C93" s="123" t="s">
        <v>57</v>
      </c>
      <c r="D93" s="124">
        <v>1</v>
      </c>
      <c r="E93" s="350">
        <f>H77</f>
        <v>101211.11506886614</v>
      </c>
      <c r="F93" s="297"/>
      <c r="G93" s="357"/>
      <c r="H93" s="348">
        <f>E93*D93</f>
        <v>101211.11506886614</v>
      </c>
    </row>
    <row r="94" spans="1:10" ht="19.95" customHeight="1" thickBot="1">
      <c r="A94" s="126"/>
      <c r="B94" s="126"/>
      <c r="C94" s="126"/>
      <c r="D94" s="126"/>
      <c r="E94" s="126"/>
      <c r="F94" s="126"/>
      <c r="G94" s="126"/>
      <c r="H94" s="126"/>
    </row>
    <row r="95" spans="1:10" ht="19.95" customHeight="1">
      <c r="A95" s="144" t="s">
        <v>83</v>
      </c>
      <c r="B95" s="535" t="s">
        <v>84</v>
      </c>
      <c r="C95" s="535"/>
      <c r="D95" s="535"/>
      <c r="E95" s="535"/>
      <c r="F95" s="536"/>
      <c r="G95" s="536"/>
      <c r="H95" s="537"/>
    </row>
    <row r="96" spans="1:10" ht="19.95" customHeight="1">
      <c r="A96" s="102" t="s">
        <v>12</v>
      </c>
      <c r="B96" s="103" t="s">
        <v>14</v>
      </c>
      <c r="C96" s="103" t="s">
        <v>15</v>
      </c>
      <c r="D96" s="103" t="s">
        <v>16</v>
      </c>
      <c r="E96" s="103" t="s">
        <v>97</v>
      </c>
      <c r="F96" s="294" t="s">
        <v>255</v>
      </c>
      <c r="G96" s="294" t="s">
        <v>257</v>
      </c>
      <c r="H96" s="104" t="s">
        <v>98</v>
      </c>
    </row>
    <row r="97" spans="1:10" ht="19.95" customHeight="1">
      <c r="A97" s="105"/>
      <c r="B97" s="35" t="str">
        <f>B95</f>
        <v>Relatório de Apoio na Análise da Monitoração dos Terraplenos e Estruturas de Contenção</v>
      </c>
      <c r="C97" s="36"/>
      <c r="D97" s="106"/>
      <c r="E97" s="39"/>
      <c r="F97" s="295"/>
      <c r="G97" s="351"/>
      <c r="H97" s="345">
        <f>H109+H111</f>
        <v>108071.37971035403</v>
      </c>
    </row>
    <row r="98" spans="1:10" ht="19.95" customHeight="1">
      <c r="A98" s="105">
        <v>1</v>
      </c>
      <c r="B98" s="35" t="s">
        <v>106</v>
      </c>
      <c r="C98" s="36"/>
      <c r="D98" s="106"/>
      <c r="E98" s="39"/>
      <c r="F98" s="295"/>
      <c r="G98" s="351">
        <f>SUM(G99:G101)</f>
        <v>22388.944970932986</v>
      </c>
      <c r="H98" s="345">
        <f>SUM(H99:H101)</f>
        <v>25409.348433928568</v>
      </c>
    </row>
    <row r="99" spans="1:10" ht="19.95" customHeight="1">
      <c r="A99" s="32" t="s">
        <v>655</v>
      </c>
      <c r="B99" s="37" t="str">
        <f>CONCATENATE(VLOOKUP(A99,'Planilha base'!$C$11:$K$35,9,FALSE)," - Infraestrutura ou Obra de Arte Especial")</f>
        <v>Engenheiro de projetos sênior - Infraestrutura ou Obra de Arte Especial</v>
      </c>
      <c r="C99" s="36" t="s">
        <v>107</v>
      </c>
      <c r="D99" s="179">
        <f>(J99*$H$1)/$M$2</f>
        <v>191.5131825</v>
      </c>
      <c r="E99" s="343">
        <f>VLOOKUP(A99,'Planilha base'!$C$11:$K$35,6,FALSE)/'Planilha base'!$H$38</f>
        <v>76.099786289659704</v>
      </c>
      <c r="F99" s="284">
        <f>VLOOKUP(A99,'Planilha base'!$C$11:$K$35,4,FALSE)</f>
        <v>0.86</v>
      </c>
      <c r="G99" s="352">
        <f t="shared" ref="G99:G101" si="5">D99*E99*F99</f>
        <v>12533.736543516234</v>
      </c>
      <c r="H99" s="346">
        <f>D99*E99</f>
        <v>14574.112259902597</v>
      </c>
      <c r="J99" s="128">
        <v>59.49</v>
      </c>
    </row>
    <row r="100" spans="1:10" ht="19.95" customHeight="1">
      <c r="A100" s="32" t="s">
        <v>651</v>
      </c>
      <c r="B100" s="37" t="str">
        <f>VLOOKUP(A100,'Planilha base'!$C$11:$K$35,9,FALSE)</f>
        <v>Engenheiro de projetos júnior</v>
      </c>
      <c r="C100" s="36" t="s">
        <v>107</v>
      </c>
      <c r="D100" s="179">
        <f>(J100*$H$1)/$M$2</f>
        <v>191.5131825</v>
      </c>
      <c r="E100" s="343">
        <f>VLOOKUP(A100,'Planilha base'!$C$11:$K$35,6,FALSE)/'Planilha base'!$H$38</f>
        <v>51.235684147076547</v>
      </c>
      <c r="F100" s="284">
        <f>VLOOKUP(A100,'Planilha base'!$C$11:$K$35,4,FALSE)</f>
        <v>0.89</v>
      </c>
      <c r="G100" s="352">
        <f t="shared" si="5"/>
        <v>8732.9549464285701</v>
      </c>
      <c r="H100" s="346">
        <f>D100*E100</f>
        <v>9812.3089285714268</v>
      </c>
      <c r="J100" s="128">
        <v>59.49</v>
      </c>
    </row>
    <row r="101" spans="1:10" ht="19.95" customHeight="1">
      <c r="A101" s="32" t="s">
        <v>719</v>
      </c>
      <c r="B101" s="37" t="str">
        <f>VLOOKUP(A101,'Planilha base'!$C$11:$K$35,9,FALSE)</f>
        <v>Técnico de obras</v>
      </c>
      <c r="C101" s="36" t="s">
        <v>107</v>
      </c>
      <c r="D101" s="179">
        <f>(J101*$H$1)/$M$2</f>
        <v>76.61815</v>
      </c>
      <c r="E101" s="343">
        <f>VLOOKUP(A101,'Planilha base'!$C$11:$K$35,6,FALSE)/'Planilha base'!$H$38</f>
        <v>13.350978135788262</v>
      </c>
      <c r="F101" s="284">
        <f>VLOOKUP(A101,'Planilha base'!$C$11:$K$35,4,FALSE)</f>
        <v>1.0971</v>
      </c>
      <c r="G101" s="352">
        <f t="shared" si="5"/>
        <v>1122.2534809881818</v>
      </c>
      <c r="H101" s="346">
        <f>D101*E101</f>
        <v>1022.9272454545454</v>
      </c>
      <c r="J101" s="128">
        <v>23.8</v>
      </c>
    </row>
    <row r="102" spans="1:10" ht="19.95" customHeight="1">
      <c r="A102" s="107"/>
      <c r="B102" s="37"/>
      <c r="C102" s="36"/>
      <c r="D102" s="111"/>
      <c r="E102" s="47"/>
      <c r="F102" s="255"/>
      <c r="G102" s="352"/>
      <c r="H102" s="346"/>
    </row>
    <row r="103" spans="1:10" ht="19.95" customHeight="1">
      <c r="A103" s="105">
        <v>2</v>
      </c>
      <c r="B103" s="35" t="s">
        <v>334</v>
      </c>
      <c r="C103" s="113"/>
      <c r="D103" s="106"/>
      <c r="E103" s="39"/>
      <c r="F103" s="295"/>
      <c r="G103" s="351"/>
      <c r="H103" s="345">
        <f>SUM(H104)</f>
        <v>5458.5651068351899</v>
      </c>
    </row>
    <row r="104" spans="1:10" s="116" customFormat="1" ht="19.95" customHeight="1">
      <c r="A104" s="32" t="s">
        <v>335</v>
      </c>
      <c r="B104" s="45" t="s">
        <v>334</v>
      </c>
      <c r="C104" s="47" t="s">
        <v>52</v>
      </c>
      <c r="D104" s="111">
        <f>H98+G98</f>
        <v>47798.293404861557</v>
      </c>
      <c r="E104" s="206">
        <f>'Planilha base'!$H$39</f>
        <v>0.1142</v>
      </c>
      <c r="F104" s="281"/>
      <c r="G104" s="352"/>
      <c r="H104" s="346">
        <f>D104*E104</f>
        <v>5458.5651068351899</v>
      </c>
    </row>
    <row r="105" spans="1:10" s="116" customFormat="1" ht="19.95" customHeight="1">
      <c r="A105" s="32"/>
      <c r="B105" s="37"/>
      <c r="C105" s="47"/>
      <c r="D105" s="111"/>
      <c r="E105" s="206"/>
      <c r="F105" s="281"/>
      <c r="G105" s="352"/>
      <c r="H105" s="346"/>
    </row>
    <row r="106" spans="1:10" ht="19.95" customHeight="1">
      <c r="A106" s="105">
        <v>3</v>
      </c>
      <c r="B106" s="35" t="s">
        <v>109</v>
      </c>
      <c r="C106" s="113"/>
      <c r="D106" s="106"/>
      <c r="E106" s="39"/>
      <c r="F106" s="295"/>
      <c r="G106" s="351"/>
      <c r="H106" s="345">
        <f>SUM(H107:H108)</f>
        <v>17335.107445557293</v>
      </c>
    </row>
    <row r="107" spans="1:10" s="116" customFormat="1" ht="19.95" customHeight="1">
      <c r="A107" s="32" t="s">
        <v>336</v>
      </c>
      <c r="B107" s="37" t="s">
        <v>67</v>
      </c>
      <c r="C107" s="47" t="s">
        <v>52</v>
      </c>
      <c r="D107" s="111">
        <f>H98+H103+G98</f>
        <v>53256.858511696744</v>
      </c>
      <c r="E107" s="206">
        <f>'Planilha base'!$H$40</f>
        <v>0.12</v>
      </c>
      <c r="F107" s="281"/>
      <c r="G107" s="352"/>
      <c r="H107" s="346">
        <f>D107*E107</f>
        <v>6390.8230214036093</v>
      </c>
    </row>
    <row r="108" spans="1:10" s="116" customFormat="1" ht="19.95" customHeight="1">
      <c r="A108" s="32" t="s">
        <v>108</v>
      </c>
      <c r="B108" s="37" t="s">
        <v>68</v>
      </c>
      <c r="C108" s="47" t="s">
        <v>52</v>
      </c>
      <c r="D108" s="111">
        <f>H98+H103+G98</f>
        <v>53256.858511696744</v>
      </c>
      <c r="E108" s="206">
        <f>'Planilha base'!$H$41</f>
        <v>0.20550000000000002</v>
      </c>
      <c r="F108" s="281"/>
      <c r="G108" s="352"/>
      <c r="H108" s="346">
        <f>D108*E108</f>
        <v>10944.284424153682</v>
      </c>
    </row>
    <row r="109" spans="1:10" s="116" customFormat="1" ht="19.95" customHeight="1">
      <c r="A109" s="32"/>
      <c r="B109" s="37"/>
      <c r="C109" s="47"/>
      <c r="D109" s="111"/>
      <c r="E109" s="206"/>
      <c r="F109" s="281"/>
      <c r="G109" s="352"/>
      <c r="H109" s="345">
        <f>H106+H103+H98+G98</f>
        <v>70591.965957254026</v>
      </c>
    </row>
    <row r="110" spans="1:10" s="116" customFormat="1" ht="19.95" customHeight="1">
      <c r="A110" s="32"/>
      <c r="B110" s="37"/>
      <c r="C110" s="47"/>
      <c r="D110" s="111"/>
      <c r="E110" s="206"/>
      <c r="F110" s="281"/>
      <c r="G110" s="352"/>
      <c r="H110" s="346"/>
    </row>
    <row r="111" spans="1:10" s="116" customFormat="1" ht="19.95" customHeight="1">
      <c r="A111" s="117" t="s">
        <v>110</v>
      </c>
      <c r="B111" s="118" t="s">
        <v>19</v>
      </c>
      <c r="C111" s="119" t="s">
        <v>107</v>
      </c>
      <c r="D111" s="120">
        <f>SUM(D99:D101)</f>
        <v>459.64451500000001</v>
      </c>
      <c r="E111" s="349">
        <f>'Custo Gerencial LOTE 03'!$I$66</f>
        <v>81.540000000000006</v>
      </c>
      <c r="F111" s="296"/>
      <c r="G111" s="355"/>
      <c r="H111" s="347">
        <f>D111*E111</f>
        <v>37479.413753100001</v>
      </c>
    </row>
    <row r="112" spans="1:10" s="116" customFormat="1" ht="19.95" customHeight="1">
      <c r="A112" s="32"/>
      <c r="B112" s="37"/>
      <c r="C112" s="47"/>
      <c r="D112" s="111"/>
      <c r="E112" s="344"/>
      <c r="F112" s="254"/>
      <c r="G112" s="356"/>
      <c r="H112" s="346"/>
    </row>
    <row r="113" spans="1:10" s="116" customFormat="1" ht="19.95" customHeight="1" thickBot="1">
      <c r="A113" s="121"/>
      <c r="B113" s="122" t="s">
        <v>111</v>
      </c>
      <c r="C113" s="123" t="s">
        <v>57</v>
      </c>
      <c r="D113" s="124">
        <v>1</v>
      </c>
      <c r="E113" s="350">
        <f>H97</f>
        <v>108071.37971035403</v>
      </c>
      <c r="F113" s="297"/>
      <c r="G113" s="357"/>
      <c r="H113" s="348">
        <f>E113*D113</f>
        <v>108071.37971035403</v>
      </c>
    </row>
    <row r="114" spans="1:10" ht="19.95" customHeight="1" thickBot="1">
      <c r="A114" s="126"/>
      <c r="B114" s="126"/>
      <c r="C114" s="126"/>
      <c r="D114" s="126"/>
      <c r="E114" s="126"/>
      <c r="F114" s="126"/>
      <c r="G114" s="126"/>
      <c r="H114" s="126"/>
    </row>
    <row r="115" spans="1:10" ht="19.95" customHeight="1">
      <c r="A115" s="144" t="s">
        <v>85</v>
      </c>
      <c r="B115" s="535" t="s">
        <v>86</v>
      </c>
      <c r="C115" s="535"/>
      <c r="D115" s="535"/>
      <c r="E115" s="535"/>
      <c r="F115" s="536"/>
      <c r="G115" s="536"/>
      <c r="H115" s="537"/>
    </row>
    <row r="116" spans="1:10" ht="19.95" customHeight="1">
      <c r="A116" s="102" t="s">
        <v>12</v>
      </c>
      <c r="B116" s="103" t="s">
        <v>14</v>
      </c>
      <c r="C116" s="103" t="s">
        <v>15</v>
      </c>
      <c r="D116" s="103" t="s">
        <v>16</v>
      </c>
      <c r="E116" s="103" t="s">
        <v>97</v>
      </c>
      <c r="F116" s="294" t="s">
        <v>255</v>
      </c>
      <c r="G116" s="294" t="s">
        <v>257</v>
      </c>
      <c r="H116" s="104" t="s">
        <v>98</v>
      </c>
    </row>
    <row r="117" spans="1:10" ht="19.95" customHeight="1">
      <c r="A117" s="105"/>
      <c r="B117" s="35" t="str">
        <f>B115</f>
        <v>Relatório de Apoio no Acompanhamento da Conservação, Manutenção, Operação e Obras</v>
      </c>
      <c r="C117" s="36"/>
      <c r="D117" s="106"/>
      <c r="E117" s="39"/>
      <c r="F117" s="295"/>
      <c r="G117" s="351"/>
      <c r="H117" s="345">
        <f>H130+H132</f>
        <v>298759.95734383387</v>
      </c>
      <c r="J117" s="133"/>
    </row>
    <row r="118" spans="1:10" ht="19.95" customHeight="1">
      <c r="A118" s="105">
        <v>1</v>
      </c>
      <c r="B118" s="35" t="s">
        <v>106</v>
      </c>
      <c r="C118" s="36"/>
      <c r="D118" s="106"/>
      <c r="E118" s="39"/>
      <c r="F118" s="295"/>
      <c r="G118" s="351">
        <f>SUM(G119:G122)</f>
        <v>54839.003469077754</v>
      </c>
      <c r="H118" s="345">
        <f>SUM(H119:H122)</f>
        <v>59998.698010849912</v>
      </c>
    </row>
    <row r="119" spans="1:10" ht="19.95" customHeight="1">
      <c r="A119" s="32" t="s">
        <v>655</v>
      </c>
      <c r="B119" s="37" t="str">
        <f>VLOOKUP(A119,'Planilha base'!$C$11:$K$35,9,FALSE)</f>
        <v>Engenheiro de projetos sênior</v>
      </c>
      <c r="C119" s="36" t="s">
        <v>107</v>
      </c>
      <c r="D119" s="179">
        <v>176</v>
      </c>
      <c r="E119" s="343">
        <f>VLOOKUP(A119,'Planilha base'!$C$11:$K$35,6,FALSE)/'Planilha base'!$H$38</f>
        <v>76.099786289659704</v>
      </c>
      <c r="F119" s="284">
        <f>VLOOKUP(A119,'Planilha base'!$C$11:$K$35,4,FALSE)</f>
        <v>0.86</v>
      </c>
      <c r="G119" s="352">
        <f t="shared" ref="G119:G122" si="6">D119*E119*F119</f>
        <v>11518.463652802891</v>
      </c>
      <c r="H119" s="346">
        <f>D119*E119</f>
        <v>13393.562386980107</v>
      </c>
      <c r="J119" s="128">
        <f>'Planilha base'!$H$38</f>
        <v>182.49</v>
      </c>
    </row>
    <row r="120" spans="1:10" ht="19.95" customHeight="1">
      <c r="A120" s="32" t="s">
        <v>653</v>
      </c>
      <c r="B120" s="37" t="str">
        <f>VLOOKUP(A120,'Planilha base'!$C$11:$K$35,9,FALSE)</f>
        <v>Engenheiro de projetos pleno</v>
      </c>
      <c r="C120" s="36" t="s">
        <v>107</v>
      </c>
      <c r="D120" s="179">
        <v>176</v>
      </c>
      <c r="E120" s="343">
        <f>VLOOKUP(A120,'Planilha base'!$C$11:$K$35,6,FALSE)/'Planilha base'!$H$38</f>
        <v>57.69094196942298</v>
      </c>
      <c r="F120" s="284">
        <f>VLOOKUP(A120,'Planilha base'!$C$11:$K$35,4,FALSE)</f>
        <v>0.87970000000000004</v>
      </c>
      <c r="G120" s="352">
        <f t="shared" si="6"/>
        <v>8932.127010488246</v>
      </c>
      <c r="H120" s="346">
        <f>D120*E120</f>
        <v>10153.605786618444</v>
      </c>
      <c r="J120" s="128">
        <f>'Planilha base'!$H$38</f>
        <v>182.49</v>
      </c>
    </row>
    <row r="121" spans="1:10" ht="19.95" customHeight="1">
      <c r="A121" s="32" t="s">
        <v>651</v>
      </c>
      <c r="B121" s="37" t="str">
        <f>VLOOKUP(A121,'Planilha base'!$C$11:$K$35,9,FALSE)</f>
        <v>Engenheiro de projetos júnior</v>
      </c>
      <c r="C121" s="36" t="s">
        <v>107</v>
      </c>
      <c r="D121" s="179">
        <f>176*3</f>
        <v>528</v>
      </c>
      <c r="E121" s="343">
        <f>VLOOKUP(A121,'Planilha base'!$C$11:$K$35,6,FALSE)/'Planilha base'!$H$38</f>
        <v>51.235684147076547</v>
      </c>
      <c r="F121" s="284">
        <f>VLOOKUP(A121,'Planilha base'!$C$11:$K$35,4,FALSE)</f>
        <v>0.89</v>
      </c>
      <c r="G121" s="352">
        <f t="shared" si="6"/>
        <v>24076.672694394212</v>
      </c>
      <c r="H121" s="346">
        <f>D121*E121</f>
        <v>27052.441229656419</v>
      </c>
      <c r="J121" s="128">
        <f>'Planilha base'!$H$38*3</f>
        <v>547.47</v>
      </c>
    </row>
    <row r="122" spans="1:10" ht="19.95" customHeight="1">
      <c r="A122" s="32" t="s">
        <v>719</v>
      </c>
      <c r="B122" s="37" t="str">
        <f>VLOOKUP(A122,'Planilha base'!$C$11:$K$35,9,FALSE)</f>
        <v>Técnico de obras</v>
      </c>
      <c r="C122" s="36" t="s">
        <v>107</v>
      </c>
      <c r="D122" s="179">
        <f>176*4</f>
        <v>704</v>
      </c>
      <c r="E122" s="343">
        <f>VLOOKUP(A122,'Planilha base'!$C$11:$K$35,6,FALSE)/'Planilha base'!$H$38</f>
        <v>13.350978135788262</v>
      </c>
      <c r="F122" s="284">
        <f>VLOOKUP(A122,'Planilha base'!$C$11:$K$35,4,FALSE)</f>
        <v>1.0971</v>
      </c>
      <c r="G122" s="352">
        <f t="shared" si="6"/>
        <v>10311.740111392404</v>
      </c>
      <c r="H122" s="346">
        <f>D122*E122</f>
        <v>9399.0886075949365</v>
      </c>
      <c r="J122" s="128">
        <f>'Planilha base'!$H$38</f>
        <v>182.49</v>
      </c>
    </row>
    <row r="123" spans="1:10" ht="19.95" customHeight="1">
      <c r="A123" s="107"/>
      <c r="B123" s="37"/>
      <c r="C123" s="36"/>
      <c r="D123" s="111"/>
      <c r="E123" s="47"/>
      <c r="F123" s="255"/>
      <c r="G123" s="352"/>
      <c r="H123" s="346"/>
    </row>
    <row r="124" spans="1:10" ht="19.95" customHeight="1">
      <c r="A124" s="105">
        <v>2</v>
      </c>
      <c r="B124" s="35" t="s">
        <v>334</v>
      </c>
      <c r="C124" s="113"/>
      <c r="D124" s="106"/>
      <c r="E124" s="39"/>
      <c r="F124" s="295"/>
      <c r="G124" s="351"/>
      <c r="H124" s="345">
        <f>SUM(H125)</f>
        <v>13114.465509007739</v>
      </c>
    </row>
    <row r="125" spans="1:10" s="116" customFormat="1" ht="19.95" customHeight="1">
      <c r="A125" s="32" t="s">
        <v>335</v>
      </c>
      <c r="B125" s="45" t="s">
        <v>334</v>
      </c>
      <c r="C125" s="47" t="s">
        <v>52</v>
      </c>
      <c r="D125" s="111">
        <f>H118+G118</f>
        <v>114837.70147992767</v>
      </c>
      <c r="E125" s="206">
        <f>'Planilha base'!$H$39</f>
        <v>0.1142</v>
      </c>
      <c r="F125" s="281"/>
      <c r="G125" s="352"/>
      <c r="H125" s="346">
        <f>D125*E125</f>
        <v>13114.465509007739</v>
      </c>
    </row>
    <row r="126" spans="1:10" s="116" customFormat="1" ht="19.95" customHeight="1">
      <c r="A126" s="32"/>
      <c r="B126" s="37"/>
      <c r="C126" s="47"/>
      <c r="D126" s="111"/>
      <c r="E126" s="206"/>
      <c r="F126" s="281"/>
      <c r="G126" s="352"/>
      <c r="H126" s="346"/>
    </row>
    <row r="127" spans="1:10" ht="19.95" customHeight="1">
      <c r="A127" s="105">
        <v>3</v>
      </c>
      <c r="B127" s="35" t="s">
        <v>109</v>
      </c>
      <c r="C127" s="113"/>
      <c r="D127" s="106"/>
      <c r="E127" s="39"/>
      <c r="F127" s="295"/>
      <c r="G127" s="351"/>
      <c r="H127" s="345">
        <f>SUM(H128:H129)</f>
        <v>41648.430354898475</v>
      </c>
    </row>
    <row r="128" spans="1:10" s="116" customFormat="1" ht="19.95" customHeight="1">
      <c r="A128" s="32" t="s">
        <v>336</v>
      </c>
      <c r="B128" s="37" t="s">
        <v>67</v>
      </c>
      <c r="C128" s="47" t="s">
        <v>52</v>
      </c>
      <c r="D128" s="111">
        <f>H118+H124+G118</f>
        <v>127952.16698893541</v>
      </c>
      <c r="E128" s="206">
        <f>'Planilha base'!$H$40</f>
        <v>0.12</v>
      </c>
      <c r="F128" s="281"/>
      <c r="G128" s="352"/>
      <c r="H128" s="346">
        <f>D128*E128</f>
        <v>15354.260038672248</v>
      </c>
    </row>
    <row r="129" spans="1:14" s="116" customFormat="1" ht="19.95" customHeight="1">
      <c r="A129" s="32" t="s">
        <v>108</v>
      </c>
      <c r="B129" s="37" t="s">
        <v>68</v>
      </c>
      <c r="C129" s="47" t="s">
        <v>52</v>
      </c>
      <c r="D129" s="111">
        <f>H118+H124+G118</f>
        <v>127952.16698893541</v>
      </c>
      <c r="E129" s="206">
        <f>'Planilha base'!$H$41</f>
        <v>0.20550000000000002</v>
      </c>
      <c r="F129" s="281"/>
      <c r="G129" s="352"/>
      <c r="H129" s="346">
        <f>D129*E129</f>
        <v>26294.170316226227</v>
      </c>
    </row>
    <row r="130" spans="1:14" s="116" customFormat="1" ht="19.95" customHeight="1">
      <c r="A130" s="32"/>
      <c r="B130" s="37"/>
      <c r="C130" s="47"/>
      <c r="D130" s="111"/>
      <c r="E130" s="115"/>
      <c r="F130" s="254"/>
      <c r="G130" s="356"/>
      <c r="H130" s="345">
        <f>H127+H124+H118+G118</f>
        <v>169600.59734383388</v>
      </c>
    </row>
    <row r="131" spans="1:14" s="116" customFormat="1" ht="19.95" customHeight="1">
      <c r="A131" s="32"/>
      <c r="B131" s="37"/>
      <c r="C131" s="47"/>
      <c r="D131" s="111"/>
      <c r="E131" s="115"/>
      <c r="F131" s="254"/>
      <c r="G131" s="356"/>
      <c r="H131" s="346"/>
    </row>
    <row r="132" spans="1:14" s="116" customFormat="1" ht="19.95" customHeight="1">
      <c r="A132" s="117" t="s">
        <v>110</v>
      </c>
      <c r="B132" s="118" t="s">
        <v>19</v>
      </c>
      <c r="C132" s="119" t="s">
        <v>107</v>
      </c>
      <c r="D132" s="120">
        <f>SUM(D119:D122)</f>
        <v>1584</v>
      </c>
      <c r="E132" s="349">
        <f>'Custo Gerencial LOTE 03'!$I$66</f>
        <v>81.540000000000006</v>
      </c>
      <c r="F132" s="296"/>
      <c r="G132" s="355"/>
      <c r="H132" s="347">
        <f>D132*E132</f>
        <v>129159.36000000002</v>
      </c>
    </row>
    <row r="133" spans="1:14" s="116" customFormat="1" ht="19.95" customHeight="1">
      <c r="A133" s="32"/>
      <c r="B133" s="37"/>
      <c r="C133" s="47"/>
      <c r="D133" s="111"/>
      <c r="E133" s="344"/>
      <c r="F133" s="254"/>
      <c r="G133" s="356"/>
      <c r="H133" s="346"/>
    </row>
    <row r="134" spans="1:14" s="116" customFormat="1" ht="19.95" customHeight="1" thickBot="1">
      <c r="A134" s="121"/>
      <c r="B134" s="122" t="s">
        <v>111</v>
      </c>
      <c r="C134" s="123" t="s">
        <v>57</v>
      </c>
      <c r="D134" s="124">
        <v>12</v>
      </c>
      <c r="E134" s="350">
        <f>H117</f>
        <v>298759.95734383387</v>
      </c>
      <c r="F134" s="297"/>
      <c r="G134" s="357"/>
      <c r="H134" s="348">
        <f>E134*D134</f>
        <v>3585119.4881260064</v>
      </c>
      <c r="I134" s="157"/>
      <c r="J134" s="158"/>
    </row>
    <row r="135" spans="1:14" ht="19.95" customHeight="1" thickBot="1">
      <c r="A135" s="126"/>
      <c r="B135" s="126"/>
      <c r="C135" s="126"/>
      <c r="D135" s="126"/>
      <c r="H135" s="126"/>
    </row>
    <row r="136" spans="1:14" ht="19.95" customHeight="1" thickBot="1">
      <c r="A136" s="544" t="s">
        <v>550</v>
      </c>
      <c r="B136" s="545"/>
      <c r="C136" s="545"/>
      <c r="D136" s="545"/>
      <c r="E136" s="545"/>
      <c r="F136" s="546"/>
      <c r="G136" s="546"/>
      <c r="H136" s="547"/>
      <c r="I136" s="187"/>
      <c r="J136" s="187"/>
    </row>
    <row r="137" spans="1:14" ht="19.95" customHeight="1">
      <c r="A137" s="548" t="s">
        <v>12</v>
      </c>
      <c r="B137" s="550" t="s">
        <v>14</v>
      </c>
      <c r="C137" s="550"/>
      <c r="D137" s="552" t="s">
        <v>72</v>
      </c>
      <c r="E137" s="554" t="s">
        <v>112</v>
      </c>
      <c r="F137" s="555"/>
      <c r="G137" s="555"/>
      <c r="H137" s="556"/>
    </row>
    <row r="138" spans="1:14" ht="19.95" customHeight="1">
      <c r="A138" s="549"/>
      <c r="B138" s="551"/>
      <c r="C138" s="551"/>
      <c r="D138" s="553"/>
      <c r="E138" s="191" t="s">
        <v>113</v>
      </c>
      <c r="F138" s="298"/>
      <c r="G138" s="298"/>
      <c r="H138" s="182" t="s">
        <v>18</v>
      </c>
    </row>
    <row r="139" spans="1:14" ht="19.95" customHeight="1">
      <c r="A139" s="129" t="str">
        <f>A3</f>
        <v>A</v>
      </c>
      <c r="B139" s="130" t="str">
        <f>B3</f>
        <v>Relatório de Apoio na Análise da Monitoração do Pavimento</v>
      </c>
      <c r="C139" s="131"/>
      <c r="D139" s="185">
        <f>D27</f>
        <v>1</v>
      </c>
      <c r="E139" s="360">
        <f>E27</f>
        <v>1626803.3286357445</v>
      </c>
      <c r="F139" s="185"/>
      <c r="G139" s="185"/>
      <c r="H139" s="358">
        <f t="shared" ref="H139:H144" si="7">ROUND(D139*E139,2)</f>
        <v>1626803.33</v>
      </c>
      <c r="K139" s="133"/>
    </row>
    <row r="140" spans="1:14" ht="19.95" customHeight="1">
      <c r="A140" s="129" t="str">
        <f>A29</f>
        <v>B</v>
      </c>
      <c r="B140" s="130" t="str">
        <f>B29</f>
        <v>Relatório de Apoio na Análise da Monitoração da Sinalização Horizontal</v>
      </c>
      <c r="C140" s="131"/>
      <c r="D140" s="185">
        <f>D50</f>
        <v>1</v>
      </c>
      <c r="E140" s="360">
        <f>E50</f>
        <v>204956.43191762618</v>
      </c>
      <c r="F140" s="185"/>
      <c r="G140" s="185"/>
      <c r="H140" s="358">
        <f t="shared" si="7"/>
        <v>204956.43</v>
      </c>
    </row>
    <row r="141" spans="1:14" ht="19.95" customHeight="1">
      <c r="A141" s="129" t="str">
        <f>A52</f>
        <v>C</v>
      </c>
      <c r="B141" s="130" t="str">
        <f>B52</f>
        <v>Relatório de Apoio na Análise da Monitoração da Sinalização Vertical</v>
      </c>
      <c r="C141" s="131"/>
      <c r="D141" s="185">
        <f>D73</f>
        <v>1</v>
      </c>
      <c r="E141" s="360">
        <f>E73</f>
        <v>145380.86653311385</v>
      </c>
      <c r="F141" s="185"/>
      <c r="G141" s="185"/>
      <c r="H141" s="358">
        <f t="shared" si="7"/>
        <v>145380.87</v>
      </c>
    </row>
    <row r="142" spans="1:14" ht="19.95" customHeight="1">
      <c r="A142" s="129" t="str">
        <f>A75</f>
        <v>D</v>
      </c>
      <c r="B142" s="130" t="str">
        <f>B75</f>
        <v>Relatório de Apoio na Análise da Monitoração das Obras de Arte Especial</v>
      </c>
      <c r="C142" s="131"/>
      <c r="D142" s="185">
        <f>D93</f>
        <v>1</v>
      </c>
      <c r="E142" s="360">
        <f>E93</f>
        <v>101211.11506886614</v>
      </c>
      <c r="F142" s="185"/>
      <c r="G142" s="185"/>
      <c r="H142" s="358">
        <f t="shared" si="7"/>
        <v>101211.12</v>
      </c>
    </row>
    <row r="143" spans="1:14" ht="19.95" customHeight="1">
      <c r="A143" s="129" t="str">
        <f>A95</f>
        <v>E</v>
      </c>
      <c r="B143" s="130" t="str">
        <f>B95</f>
        <v>Relatório de Apoio na Análise da Monitoração dos Terraplenos e Estruturas de Contenção</v>
      </c>
      <c r="C143" s="131"/>
      <c r="D143" s="185">
        <f>D113</f>
        <v>1</v>
      </c>
      <c r="E143" s="360">
        <f>E113</f>
        <v>108071.37971035403</v>
      </c>
      <c r="F143" s="185"/>
      <c r="G143" s="185"/>
      <c r="H143" s="358">
        <f t="shared" si="7"/>
        <v>108071.38</v>
      </c>
    </row>
    <row r="144" spans="1:14" ht="19.95" customHeight="1" thickBot="1">
      <c r="A144" s="188" t="str">
        <f>A115</f>
        <v>F</v>
      </c>
      <c r="B144" s="189" t="str">
        <f>B115</f>
        <v>Relatório de Apoio no Acompanhamento da Conservação, Manutenção, Operação e Obras</v>
      </c>
      <c r="C144" s="190"/>
      <c r="D144" s="186">
        <f>D134</f>
        <v>12</v>
      </c>
      <c r="E144" s="361">
        <f>E134</f>
        <v>298759.95734383387</v>
      </c>
      <c r="F144" s="186"/>
      <c r="G144" s="186"/>
      <c r="H144" s="359">
        <f t="shared" si="7"/>
        <v>3585119.49</v>
      </c>
      <c r="K144" s="160"/>
      <c r="L144" s="160"/>
      <c r="M144" s="160"/>
      <c r="N144" s="160"/>
    </row>
    <row r="145" spans="4:14" ht="19.95" customHeight="1" thickBot="1">
      <c r="D145" s="159"/>
      <c r="E145" s="183" t="s">
        <v>87</v>
      </c>
      <c r="F145" s="299"/>
      <c r="G145" s="299"/>
      <c r="H145" s="184">
        <f>ROUND(SUM(H139:H144),2)</f>
        <v>5771542.6200000001</v>
      </c>
      <c r="K145" s="192"/>
      <c r="L145" s="193"/>
      <c r="M145" s="193"/>
      <c r="N145" s="160"/>
    </row>
    <row r="146" spans="4:14">
      <c r="D146" s="132"/>
      <c r="E146" s="160"/>
      <c r="F146" s="160"/>
      <c r="G146" s="160"/>
      <c r="K146" s="160"/>
      <c r="L146" s="160"/>
      <c r="M146" s="160"/>
      <c r="N146" s="160"/>
    </row>
    <row r="147" spans="4:14">
      <c r="D147" s="82"/>
      <c r="H147" s="133"/>
      <c r="K147" s="160"/>
      <c r="L147" s="160"/>
      <c r="M147" s="160"/>
      <c r="N147" s="160"/>
    </row>
  </sheetData>
  <autoFilter ref="A5:A135" xr:uid="{00000000-0009-0000-0000-000002000000}"/>
  <mergeCells count="14">
    <mergeCell ref="A1:B1"/>
    <mergeCell ref="C1:E1"/>
    <mergeCell ref="B3:H3"/>
    <mergeCell ref="E137:H137"/>
    <mergeCell ref="D137:D138"/>
    <mergeCell ref="A137:A138"/>
    <mergeCell ref="B137:C138"/>
    <mergeCell ref="B115:H115"/>
    <mergeCell ref="A136:H136"/>
    <mergeCell ref="L3:Q3"/>
    <mergeCell ref="B29:H29"/>
    <mergeCell ref="B52:H52"/>
    <mergeCell ref="B75:H75"/>
    <mergeCell ref="B95:H95"/>
  </mergeCells>
  <phoneticPr fontId="50" type="noConversion"/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8" max="6" man="1"/>
    <brk id="51" max="6" man="1"/>
    <brk id="94" max="6" man="1"/>
    <brk id="114" max="6" man="1"/>
    <brk id="135" max="6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3AED5-D73A-485A-B48E-398809E6ACCE}">
  <sheetPr>
    <tabColor theme="5" tint="0.39997558519241921"/>
  </sheetPr>
  <dimension ref="A1:M67"/>
  <sheetViews>
    <sheetView topLeftCell="A40" zoomScale="85" zoomScaleNormal="85" zoomScaleSheetLayoutView="90" workbookViewId="0">
      <selection activeCell="A37" sqref="A37"/>
    </sheetView>
  </sheetViews>
  <sheetFormatPr defaultColWidth="8.6640625" defaultRowHeight="14.4"/>
  <cols>
    <col min="1" max="1" width="8.6640625" style="9" customWidth="1"/>
    <col min="2" max="2" width="6.33203125" style="9" customWidth="1"/>
    <col min="3" max="3" width="59.109375" style="9" customWidth="1"/>
    <col min="4" max="4" width="14.33203125" style="57" bestFit="1" customWidth="1"/>
    <col min="5" max="5" width="13.109375" style="9" customWidth="1"/>
    <col min="6" max="6" width="11" style="9" bestFit="1" customWidth="1"/>
    <col min="7" max="7" width="9.5546875" style="9" bestFit="1" customWidth="1"/>
    <col min="8" max="8" width="10.5546875" style="9" bestFit="1" customWidth="1"/>
    <col min="9" max="9" width="15.33203125" style="9" customWidth="1"/>
    <col min="10" max="10" width="9" style="9" customWidth="1"/>
    <col min="11" max="11" width="9.5546875" style="150" customWidth="1"/>
    <col min="12" max="13" width="9.5546875" style="10" customWidth="1"/>
    <col min="14" max="20" width="9.5546875" style="9" customWidth="1"/>
    <col min="21" max="258" width="8.6640625" style="9"/>
    <col min="259" max="260" width="10.6640625" style="9" customWidth="1"/>
    <col min="261" max="261" width="36.6640625" style="9" customWidth="1"/>
    <col min="262" max="262" width="35.44140625" style="9" customWidth="1"/>
    <col min="263" max="263" width="14.109375" style="9" customWidth="1"/>
    <col min="264" max="264" width="16" style="9" customWidth="1"/>
    <col min="265" max="265" width="19.33203125" style="9" customWidth="1"/>
    <col min="266" max="266" width="15" style="9" customWidth="1"/>
    <col min="267" max="267" width="9.6640625" style="9" bestFit="1" customWidth="1"/>
    <col min="268" max="514" width="8.6640625" style="9"/>
    <col min="515" max="516" width="10.6640625" style="9" customWidth="1"/>
    <col min="517" max="517" width="36.6640625" style="9" customWidth="1"/>
    <col min="518" max="518" width="35.44140625" style="9" customWidth="1"/>
    <col min="519" max="519" width="14.109375" style="9" customWidth="1"/>
    <col min="520" max="520" width="16" style="9" customWidth="1"/>
    <col min="521" max="521" width="19.33203125" style="9" customWidth="1"/>
    <col min="522" max="522" width="15" style="9" customWidth="1"/>
    <col min="523" max="523" width="9.6640625" style="9" bestFit="1" customWidth="1"/>
    <col min="524" max="770" width="8.6640625" style="9"/>
    <col min="771" max="772" width="10.6640625" style="9" customWidth="1"/>
    <col min="773" max="773" width="36.6640625" style="9" customWidth="1"/>
    <col min="774" max="774" width="35.44140625" style="9" customWidth="1"/>
    <col min="775" max="775" width="14.109375" style="9" customWidth="1"/>
    <col min="776" max="776" width="16" style="9" customWidth="1"/>
    <col min="777" max="777" width="19.33203125" style="9" customWidth="1"/>
    <col min="778" max="778" width="15" style="9" customWidth="1"/>
    <col min="779" max="779" width="9.6640625" style="9" bestFit="1" customWidth="1"/>
    <col min="780" max="1026" width="8.6640625" style="9"/>
    <col min="1027" max="1028" width="10.6640625" style="9" customWidth="1"/>
    <col min="1029" max="1029" width="36.6640625" style="9" customWidth="1"/>
    <col min="1030" max="1030" width="35.44140625" style="9" customWidth="1"/>
    <col min="1031" max="1031" width="14.109375" style="9" customWidth="1"/>
    <col min="1032" max="1032" width="16" style="9" customWidth="1"/>
    <col min="1033" max="1033" width="19.33203125" style="9" customWidth="1"/>
    <col min="1034" max="1034" width="15" style="9" customWidth="1"/>
    <col min="1035" max="1035" width="9.6640625" style="9" bestFit="1" customWidth="1"/>
    <col min="1036" max="1282" width="8.6640625" style="9"/>
    <col min="1283" max="1284" width="10.6640625" style="9" customWidth="1"/>
    <col min="1285" max="1285" width="36.6640625" style="9" customWidth="1"/>
    <col min="1286" max="1286" width="35.44140625" style="9" customWidth="1"/>
    <col min="1287" max="1287" width="14.109375" style="9" customWidth="1"/>
    <col min="1288" max="1288" width="16" style="9" customWidth="1"/>
    <col min="1289" max="1289" width="19.33203125" style="9" customWidth="1"/>
    <col min="1290" max="1290" width="15" style="9" customWidth="1"/>
    <col min="1291" max="1291" width="9.6640625" style="9" bestFit="1" customWidth="1"/>
    <col min="1292" max="1538" width="8.6640625" style="9"/>
    <col min="1539" max="1540" width="10.6640625" style="9" customWidth="1"/>
    <col min="1541" max="1541" width="36.6640625" style="9" customWidth="1"/>
    <col min="1542" max="1542" width="35.44140625" style="9" customWidth="1"/>
    <col min="1543" max="1543" width="14.109375" style="9" customWidth="1"/>
    <col min="1544" max="1544" width="16" style="9" customWidth="1"/>
    <col min="1545" max="1545" width="19.33203125" style="9" customWidth="1"/>
    <col min="1546" max="1546" width="15" style="9" customWidth="1"/>
    <col min="1547" max="1547" width="9.6640625" style="9" bestFit="1" customWidth="1"/>
    <col min="1548" max="1794" width="8.6640625" style="9"/>
    <col min="1795" max="1796" width="10.6640625" style="9" customWidth="1"/>
    <col min="1797" max="1797" width="36.6640625" style="9" customWidth="1"/>
    <col min="1798" max="1798" width="35.44140625" style="9" customWidth="1"/>
    <col min="1799" max="1799" width="14.109375" style="9" customWidth="1"/>
    <col min="1800" max="1800" width="16" style="9" customWidth="1"/>
    <col min="1801" max="1801" width="19.33203125" style="9" customWidth="1"/>
    <col min="1802" max="1802" width="15" style="9" customWidth="1"/>
    <col min="1803" max="1803" width="9.6640625" style="9" bestFit="1" customWidth="1"/>
    <col min="1804" max="2050" width="8.6640625" style="9"/>
    <col min="2051" max="2052" width="10.6640625" style="9" customWidth="1"/>
    <col min="2053" max="2053" width="36.6640625" style="9" customWidth="1"/>
    <col min="2054" max="2054" width="35.44140625" style="9" customWidth="1"/>
    <col min="2055" max="2055" width="14.109375" style="9" customWidth="1"/>
    <col min="2056" max="2056" width="16" style="9" customWidth="1"/>
    <col min="2057" max="2057" width="19.33203125" style="9" customWidth="1"/>
    <col min="2058" max="2058" width="15" style="9" customWidth="1"/>
    <col min="2059" max="2059" width="9.6640625" style="9" bestFit="1" customWidth="1"/>
    <col min="2060" max="2306" width="8.6640625" style="9"/>
    <col min="2307" max="2308" width="10.6640625" style="9" customWidth="1"/>
    <col min="2309" max="2309" width="36.6640625" style="9" customWidth="1"/>
    <col min="2310" max="2310" width="35.44140625" style="9" customWidth="1"/>
    <col min="2311" max="2311" width="14.109375" style="9" customWidth="1"/>
    <col min="2312" max="2312" width="16" style="9" customWidth="1"/>
    <col min="2313" max="2313" width="19.33203125" style="9" customWidth="1"/>
    <col min="2314" max="2314" width="15" style="9" customWidth="1"/>
    <col min="2315" max="2315" width="9.6640625" style="9" bestFit="1" customWidth="1"/>
    <col min="2316" max="2562" width="8.6640625" style="9"/>
    <col min="2563" max="2564" width="10.6640625" style="9" customWidth="1"/>
    <col min="2565" max="2565" width="36.6640625" style="9" customWidth="1"/>
    <col min="2566" max="2566" width="35.44140625" style="9" customWidth="1"/>
    <col min="2567" max="2567" width="14.109375" style="9" customWidth="1"/>
    <col min="2568" max="2568" width="16" style="9" customWidth="1"/>
    <col min="2569" max="2569" width="19.33203125" style="9" customWidth="1"/>
    <col min="2570" max="2570" width="15" style="9" customWidth="1"/>
    <col min="2571" max="2571" width="9.6640625" style="9" bestFit="1" customWidth="1"/>
    <col min="2572" max="2818" width="8.6640625" style="9"/>
    <col min="2819" max="2820" width="10.6640625" style="9" customWidth="1"/>
    <col min="2821" max="2821" width="36.6640625" style="9" customWidth="1"/>
    <col min="2822" max="2822" width="35.44140625" style="9" customWidth="1"/>
    <col min="2823" max="2823" width="14.109375" style="9" customWidth="1"/>
    <col min="2824" max="2824" width="16" style="9" customWidth="1"/>
    <col min="2825" max="2825" width="19.33203125" style="9" customWidth="1"/>
    <col min="2826" max="2826" width="15" style="9" customWidth="1"/>
    <col min="2827" max="2827" width="9.6640625" style="9" bestFit="1" customWidth="1"/>
    <col min="2828" max="3074" width="8.6640625" style="9"/>
    <col min="3075" max="3076" width="10.6640625" style="9" customWidth="1"/>
    <col min="3077" max="3077" width="36.6640625" style="9" customWidth="1"/>
    <col min="3078" max="3078" width="35.44140625" style="9" customWidth="1"/>
    <col min="3079" max="3079" width="14.109375" style="9" customWidth="1"/>
    <col min="3080" max="3080" width="16" style="9" customWidth="1"/>
    <col min="3081" max="3081" width="19.33203125" style="9" customWidth="1"/>
    <col min="3082" max="3082" width="15" style="9" customWidth="1"/>
    <col min="3083" max="3083" width="9.6640625" style="9" bestFit="1" customWidth="1"/>
    <col min="3084" max="3330" width="8.6640625" style="9"/>
    <col min="3331" max="3332" width="10.6640625" style="9" customWidth="1"/>
    <col min="3333" max="3333" width="36.6640625" style="9" customWidth="1"/>
    <col min="3334" max="3334" width="35.44140625" style="9" customWidth="1"/>
    <col min="3335" max="3335" width="14.109375" style="9" customWidth="1"/>
    <col min="3336" max="3336" width="16" style="9" customWidth="1"/>
    <col min="3337" max="3337" width="19.33203125" style="9" customWidth="1"/>
    <col min="3338" max="3338" width="15" style="9" customWidth="1"/>
    <col min="3339" max="3339" width="9.6640625" style="9" bestFit="1" customWidth="1"/>
    <col min="3340" max="3586" width="8.6640625" style="9"/>
    <col min="3587" max="3588" width="10.6640625" style="9" customWidth="1"/>
    <col min="3589" max="3589" width="36.6640625" style="9" customWidth="1"/>
    <col min="3590" max="3590" width="35.44140625" style="9" customWidth="1"/>
    <col min="3591" max="3591" width="14.109375" style="9" customWidth="1"/>
    <col min="3592" max="3592" width="16" style="9" customWidth="1"/>
    <col min="3593" max="3593" width="19.33203125" style="9" customWidth="1"/>
    <col min="3594" max="3594" width="15" style="9" customWidth="1"/>
    <col min="3595" max="3595" width="9.6640625" style="9" bestFit="1" customWidth="1"/>
    <col min="3596" max="3842" width="8.6640625" style="9"/>
    <col min="3843" max="3844" width="10.6640625" style="9" customWidth="1"/>
    <col min="3845" max="3845" width="36.6640625" style="9" customWidth="1"/>
    <col min="3846" max="3846" width="35.44140625" style="9" customWidth="1"/>
    <col min="3847" max="3847" width="14.109375" style="9" customWidth="1"/>
    <col min="3848" max="3848" width="16" style="9" customWidth="1"/>
    <col min="3849" max="3849" width="19.33203125" style="9" customWidth="1"/>
    <col min="3850" max="3850" width="15" style="9" customWidth="1"/>
    <col min="3851" max="3851" width="9.6640625" style="9" bestFit="1" customWidth="1"/>
    <col min="3852" max="4098" width="8.6640625" style="9"/>
    <col min="4099" max="4100" width="10.6640625" style="9" customWidth="1"/>
    <col min="4101" max="4101" width="36.6640625" style="9" customWidth="1"/>
    <col min="4102" max="4102" width="35.44140625" style="9" customWidth="1"/>
    <col min="4103" max="4103" width="14.109375" style="9" customWidth="1"/>
    <col min="4104" max="4104" width="16" style="9" customWidth="1"/>
    <col min="4105" max="4105" width="19.33203125" style="9" customWidth="1"/>
    <col min="4106" max="4106" width="15" style="9" customWidth="1"/>
    <col min="4107" max="4107" width="9.6640625" style="9" bestFit="1" customWidth="1"/>
    <col min="4108" max="4354" width="8.6640625" style="9"/>
    <col min="4355" max="4356" width="10.6640625" style="9" customWidth="1"/>
    <col min="4357" max="4357" width="36.6640625" style="9" customWidth="1"/>
    <col min="4358" max="4358" width="35.44140625" style="9" customWidth="1"/>
    <col min="4359" max="4359" width="14.109375" style="9" customWidth="1"/>
    <col min="4360" max="4360" width="16" style="9" customWidth="1"/>
    <col min="4361" max="4361" width="19.33203125" style="9" customWidth="1"/>
    <col min="4362" max="4362" width="15" style="9" customWidth="1"/>
    <col min="4363" max="4363" width="9.6640625" style="9" bestFit="1" customWidth="1"/>
    <col min="4364" max="4610" width="8.6640625" style="9"/>
    <col min="4611" max="4612" width="10.6640625" style="9" customWidth="1"/>
    <col min="4613" max="4613" width="36.6640625" style="9" customWidth="1"/>
    <col min="4614" max="4614" width="35.44140625" style="9" customWidth="1"/>
    <col min="4615" max="4615" width="14.109375" style="9" customWidth="1"/>
    <col min="4616" max="4616" width="16" style="9" customWidth="1"/>
    <col min="4617" max="4617" width="19.33203125" style="9" customWidth="1"/>
    <col min="4618" max="4618" width="15" style="9" customWidth="1"/>
    <col min="4619" max="4619" width="9.6640625" style="9" bestFit="1" customWidth="1"/>
    <col min="4620" max="4866" width="8.6640625" style="9"/>
    <col min="4867" max="4868" width="10.6640625" style="9" customWidth="1"/>
    <col min="4869" max="4869" width="36.6640625" style="9" customWidth="1"/>
    <col min="4870" max="4870" width="35.44140625" style="9" customWidth="1"/>
    <col min="4871" max="4871" width="14.109375" style="9" customWidth="1"/>
    <col min="4872" max="4872" width="16" style="9" customWidth="1"/>
    <col min="4873" max="4873" width="19.33203125" style="9" customWidth="1"/>
    <col min="4874" max="4874" width="15" style="9" customWidth="1"/>
    <col min="4875" max="4875" width="9.6640625" style="9" bestFit="1" customWidth="1"/>
    <col min="4876" max="5122" width="8.6640625" style="9"/>
    <col min="5123" max="5124" width="10.6640625" style="9" customWidth="1"/>
    <col min="5125" max="5125" width="36.6640625" style="9" customWidth="1"/>
    <col min="5126" max="5126" width="35.44140625" style="9" customWidth="1"/>
    <col min="5127" max="5127" width="14.109375" style="9" customWidth="1"/>
    <col min="5128" max="5128" width="16" style="9" customWidth="1"/>
    <col min="5129" max="5129" width="19.33203125" style="9" customWidth="1"/>
    <col min="5130" max="5130" width="15" style="9" customWidth="1"/>
    <col min="5131" max="5131" width="9.6640625" style="9" bestFit="1" customWidth="1"/>
    <col min="5132" max="5378" width="8.6640625" style="9"/>
    <col min="5379" max="5380" width="10.6640625" style="9" customWidth="1"/>
    <col min="5381" max="5381" width="36.6640625" style="9" customWidth="1"/>
    <col min="5382" max="5382" width="35.44140625" style="9" customWidth="1"/>
    <col min="5383" max="5383" width="14.109375" style="9" customWidth="1"/>
    <col min="5384" max="5384" width="16" style="9" customWidth="1"/>
    <col min="5385" max="5385" width="19.33203125" style="9" customWidth="1"/>
    <col min="5386" max="5386" width="15" style="9" customWidth="1"/>
    <col min="5387" max="5387" width="9.6640625" style="9" bestFit="1" customWidth="1"/>
    <col min="5388" max="5634" width="8.6640625" style="9"/>
    <col min="5635" max="5636" width="10.6640625" style="9" customWidth="1"/>
    <col min="5637" max="5637" width="36.6640625" style="9" customWidth="1"/>
    <col min="5638" max="5638" width="35.44140625" style="9" customWidth="1"/>
    <col min="5639" max="5639" width="14.109375" style="9" customWidth="1"/>
    <col min="5640" max="5640" width="16" style="9" customWidth="1"/>
    <col min="5641" max="5641" width="19.33203125" style="9" customWidth="1"/>
    <col min="5642" max="5642" width="15" style="9" customWidth="1"/>
    <col min="5643" max="5643" width="9.6640625" style="9" bestFit="1" customWidth="1"/>
    <col min="5644" max="5890" width="8.6640625" style="9"/>
    <col min="5891" max="5892" width="10.6640625" style="9" customWidth="1"/>
    <col min="5893" max="5893" width="36.6640625" style="9" customWidth="1"/>
    <col min="5894" max="5894" width="35.44140625" style="9" customWidth="1"/>
    <col min="5895" max="5895" width="14.109375" style="9" customWidth="1"/>
    <col min="5896" max="5896" width="16" style="9" customWidth="1"/>
    <col min="5897" max="5897" width="19.33203125" style="9" customWidth="1"/>
    <col min="5898" max="5898" width="15" style="9" customWidth="1"/>
    <col min="5899" max="5899" width="9.6640625" style="9" bestFit="1" customWidth="1"/>
    <col min="5900" max="6146" width="8.6640625" style="9"/>
    <col min="6147" max="6148" width="10.6640625" style="9" customWidth="1"/>
    <col min="6149" max="6149" width="36.6640625" style="9" customWidth="1"/>
    <col min="6150" max="6150" width="35.44140625" style="9" customWidth="1"/>
    <col min="6151" max="6151" width="14.109375" style="9" customWidth="1"/>
    <col min="6152" max="6152" width="16" style="9" customWidth="1"/>
    <col min="6153" max="6153" width="19.33203125" style="9" customWidth="1"/>
    <col min="6154" max="6154" width="15" style="9" customWidth="1"/>
    <col min="6155" max="6155" width="9.6640625" style="9" bestFit="1" customWidth="1"/>
    <col min="6156" max="6402" width="8.6640625" style="9"/>
    <col min="6403" max="6404" width="10.6640625" style="9" customWidth="1"/>
    <col min="6405" max="6405" width="36.6640625" style="9" customWidth="1"/>
    <col min="6406" max="6406" width="35.44140625" style="9" customWidth="1"/>
    <col min="6407" max="6407" width="14.109375" style="9" customWidth="1"/>
    <col min="6408" max="6408" width="16" style="9" customWidth="1"/>
    <col min="6409" max="6409" width="19.33203125" style="9" customWidth="1"/>
    <col min="6410" max="6410" width="15" style="9" customWidth="1"/>
    <col min="6411" max="6411" width="9.6640625" style="9" bestFit="1" customWidth="1"/>
    <col min="6412" max="6658" width="8.6640625" style="9"/>
    <col min="6659" max="6660" width="10.6640625" style="9" customWidth="1"/>
    <col min="6661" max="6661" width="36.6640625" style="9" customWidth="1"/>
    <col min="6662" max="6662" width="35.44140625" style="9" customWidth="1"/>
    <col min="6663" max="6663" width="14.109375" style="9" customWidth="1"/>
    <col min="6664" max="6664" width="16" style="9" customWidth="1"/>
    <col min="6665" max="6665" width="19.33203125" style="9" customWidth="1"/>
    <col min="6666" max="6666" width="15" style="9" customWidth="1"/>
    <col min="6667" max="6667" width="9.6640625" style="9" bestFit="1" customWidth="1"/>
    <col min="6668" max="6914" width="8.6640625" style="9"/>
    <col min="6915" max="6916" width="10.6640625" style="9" customWidth="1"/>
    <col min="6917" max="6917" width="36.6640625" style="9" customWidth="1"/>
    <col min="6918" max="6918" width="35.44140625" style="9" customWidth="1"/>
    <col min="6919" max="6919" width="14.109375" style="9" customWidth="1"/>
    <col min="6920" max="6920" width="16" style="9" customWidth="1"/>
    <col min="6921" max="6921" width="19.33203125" style="9" customWidth="1"/>
    <col min="6922" max="6922" width="15" style="9" customWidth="1"/>
    <col min="6923" max="6923" width="9.6640625" style="9" bestFit="1" customWidth="1"/>
    <col min="6924" max="7170" width="8.6640625" style="9"/>
    <col min="7171" max="7172" width="10.6640625" style="9" customWidth="1"/>
    <col min="7173" max="7173" width="36.6640625" style="9" customWidth="1"/>
    <col min="7174" max="7174" width="35.44140625" style="9" customWidth="1"/>
    <col min="7175" max="7175" width="14.109375" style="9" customWidth="1"/>
    <col min="7176" max="7176" width="16" style="9" customWidth="1"/>
    <col min="7177" max="7177" width="19.33203125" style="9" customWidth="1"/>
    <col min="7178" max="7178" width="15" style="9" customWidth="1"/>
    <col min="7179" max="7179" width="9.6640625" style="9" bestFit="1" customWidth="1"/>
    <col min="7180" max="7426" width="8.6640625" style="9"/>
    <col min="7427" max="7428" width="10.6640625" style="9" customWidth="1"/>
    <col min="7429" max="7429" width="36.6640625" style="9" customWidth="1"/>
    <col min="7430" max="7430" width="35.44140625" style="9" customWidth="1"/>
    <col min="7431" max="7431" width="14.109375" style="9" customWidth="1"/>
    <col min="7432" max="7432" width="16" style="9" customWidth="1"/>
    <col min="7433" max="7433" width="19.33203125" style="9" customWidth="1"/>
    <col min="7434" max="7434" width="15" style="9" customWidth="1"/>
    <col min="7435" max="7435" width="9.6640625" style="9" bestFit="1" customWidth="1"/>
    <col min="7436" max="7682" width="8.6640625" style="9"/>
    <col min="7683" max="7684" width="10.6640625" style="9" customWidth="1"/>
    <col min="7685" max="7685" width="36.6640625" style="9" customWidth="1"/>
    <col min="7686" max="7686" width="35.44140625" style="9" customWidth="1"/>
    <col min="7687" max="7687" width="14.109375" style="9" customWidth="1"/>
    <col min="7688" max="7688" width="16" style="9" customWidth="1"/>
    <col min="7689" max="7689" width="19.33203125" style="9" customWidth="1"/>
    <col min="7690" max="7690" width="15" style="9" customWidth="1"/>
    <col min="7691" max="7691" width="9.6640625" style="9" bestFit="1" customWidth="1"/>
    <col min="7692" max="7938" width="8.6640625" style="9"/>
    <col min="7939" max="7940" width="10.6640625" style="9" customWidth="1"/>
    <col min="7941" max="7941" width="36.6640625" style="9" customWidth="1"/>
    <col min="7942" max="7942" width="35.44140625" style="9" customWidth="1"/>
    <col min="7943" max="7943" width="14.109375" style="9" customWidth="1"/>
    <col min="7944" max="7944" width="16" style="9" customWidth="1"/>
    <col min="7945" max="7945" width="19.33203125" style="9" customWidth="1"/>
    <col min="7946" max="7946" width="15" style="9" customWidth="1"/>
    <col min="7947" max="7947" width="9.6640625" style="9" bestFit="1" customWidth="1"/>
    <col min="7948" max="8194" width="8.6640625" style="9"/>
    <col min="8195" max="8196" width="10.6640625" style="9" customWidth="1"/>
    <col min="8197" max="8197" width="36.6640625" style="9" customWidth="1"/>
    <col min="8198" max="8198" width="35.44140625" style="9" customWidth="1"/>
    <col min="8199" max="8199" width="14.109375" style="9" customWidth="1"/>
    <col min="8200" max="8200" width="16" style="9" customWidth="1"/>
    <col min="8201" max="8201" width="19.33203125" style="9" customWidth="1"/>
    <col min="8202" max="8202" width="15" style="9" customWidth="1"/>
    <col min="8203" max="8203" width="9.6640625" style="9" bestFit="1" customWidth="1"/>
    <col min="8204" max="8450" width="8.6640625" style="9"/>
    <col min="8451" max="8452" width="10.6640625" style="9" customWidth="1"/>
    <col min="8453" max="8453" width="36.6640625" style="9" customWidth="1"/>
    <col min="8454" max="8454" width="35.44140625" style="9" customWidth="1"/>
    <col min="8455" max="8455" width="14.109375" style="9" customWidth="1"/>
    <col min="8456" max="8456" width="16" style="9" customWidth="1"/>
    <col min="8457" max="8457" width="19.33203125" style="9" customWidth="1"/>
    <col min="8458" max="8458" width="15" style="9" customWidth="1"/>
    <col min="8459" max="8459" width="9.6640625" style="9" bestFit="1" customWidth="1"/>
    <col min="8460" max="8706" width="8.6640625" style="9"/>
    <col min="8707" max="8708" width="10.6640625" style="9" customWidth="1"/>
    <col min="8709" max="8709" width="36.6640625" style="9" customWidth="1"/>
    <col min="8710" max="8710" width="35.44140625" style="9" customWidth="1"/>
    <col min="8711" max="8711" width="14.109375" style="9" customWidth="1"/>
    <col min="8712" max="8712" width="16" style="9" customWidth="1"/>
    <col min="8713" max="8713" width="19.33203125" style="9" customWidth="1"/>
    <col min="8714" max="8714" width="15" style="9" customWidth="1"/>
    <col min="8715" max="8715" width="9.6640625" style="9" bestFit="1" customWidth="1"/>
    <col min="8716" max="8962" width="8.6640625" style="9"/>
    <col min="8963" max="8964" width="10.6640625" style="9" customWidth="1"/>
    <col min="8965" max="8965" width="36.6640625" style="9" customWidth="1"/>
    <col min="8966" max="8966" width="35.44140625" style="9" customWidth="1"/>
    <col min="8967" max="8967" width="14.109375" style="9" customWidth="1"/>
    <col min="8968" max="8968" width="16" style="9" customWidth="1"/>
    <col min="8969" max="8969" width="19.33203125" style="9" customWidth="1"/>
    <col min="8970" max="8970" width="15" style="9" customWidth="1"/>
    <col min="8971" max="8971" width="9.6640625" style="9" bestFit="1" customWidth="1"/>
    <col min="8972" max="9218" width="8.6640625" style="9"/>
    <col min="9219" max="9220" width="10.6640625" style="9" customWidth="1"/>
    <col min="9221" max="9221" width="36.6640625" style="9" customWidth="1"/>
    <col min="9222" max="9222" width="35.44140625" style="9" customWidth="1"/>
    <col min="9223" max="9223" width="14.109375" style="9" customWidth="1"/>
    <col min="9224" max="9224" width="16" style="9" customWidth="1"/>
    <col min="9225" max="9225" width="19.33203125" style="9" customWidth="1"/>
    <col min="9226" max="9226" width="15" style="9" customWidth="1"/>
    <col min="9227" max="9227" width="9.6640625" style="9" bestFit="1" customWidth="1"/>
    <col min="9228" max="9474" width="8.6640625" style="9"/>
    <col min="9475" max="9476" width="10.6640625" style="9" customWidth="1"/>
    <col min="9477" max="9477" width="36.6640625" style="9" customWidth="1"/>
    <col min="9478" max="9478" width="35.44140625" style="9" customWidth="1"/>
    <col min="9479" max="9479" width="14.109375" style="9" customWidth="1"/>
    <col min="9480" max="9480" width="16" style="9" customWidth="1"/>
    <col min="9481" max="9481" width="19.33203125" style="9" customWidth="1"/>
    <col min="9482" max="9482" width="15" style="9" customWidth="1"/>
    <col min="9483" max="9483" width="9.6640625" style="9" bestFit="1" customWidth="1"/>
    <col min="9484" max="9730" width="8.6640625" style="9"/>
    <col min="9731" max="9732" width="10.6640625" style="9" customWidth="1"/>
    <col min="9733" max="9733" width="36.6640625" style="9" customWidth="1"/>
    <col min="9734" max="9734" width="35.44140625" style="9" customWidth="1"/>
    <col min="9735" max="9735" width="14.109375" style="9" customWidth="1"/>
    <col min="9736" max="9736" width="16" style="9" customWidth="1"/>
    <col min="9737" max="9737" width="19.33203125" style="9" customWidth="1"/>
    <col min="9738" max="9738" width="15" style="9" customWidth="1"/>
    <col min="9739" max="9739" width="9.6640625" style="9" bestFit="1" customWidth="1"/>
    <col min="9740" max="9986" width="8.6640625" style="9"/>
    <col min="9987" max="9988" width="10.6640625" style="9" customWidth="1"/>
    <col min="9989" max="9989" width="36.6640625" style="9" customWidth="1"/>
    <col min="9990" max="9990" width="35.44140625" style="9" customWidth="1"/>
    <col min="9991" max="9991" width="14.109375" style="9" customWidth="1"/>
    <col min="9992" max="9992" width="16" style="9" customWidth="1"/>
    <col min="9993" max="9993" width="19.33203125" style="9" customWidth="1"/>
    <col min="9994" max="9994" width="15" style="9" customWidth="1"/>
    <col min="9995" max="9995" width="9.6640625" style="9" bestFit="1" customWidth="1"/>
    <col min="9996" max="10242" width="8.6640625" style="9"/>
    <col min="10243" max="10244" width="10.6640625" style="9" customWidth="1"/>
    <col min="10245" max="10245" width="36.6640625" style="9" customWidth="1"/>
    <col min="10246" max="10246" width="35.44140625" style="9" customWidth="1"/>
    <col min="10247" max="10247" width="14.109375" style="9" customWidth="1"/>
    <col min="10248" max="10248" width="16" style="9" customWidth="1"/>
    <col min="10249" max="10249" width="19.33203125" style="9" customWidth="1"/>
    <col min="10250" max="10250" width="15" style="9" customWidth="1"/>
    <col min="10251" max="10251" width="9.6640625" style="9" bestFit="1" customWidth="1"/>
    <col min="10252" max="10498" width="8.6640625" style="9"/>
    <col min="10499" max="10500" width="10.6640625" style="9" customWidth="1"/>
    <col min="10501" max="10501" width="36.6640625" style="9" customWidth="1"/>
    <col min="10502" max="10502" width="35.44140625" style="9" customWidth="1"/>
    <col min="10503" max="10503" width="14.109375" style="9" customWidth="1"/>
    <col min="10504" max="10504" width="16" style="9" customWidth="1"/>
    <col min="10505" max="10505" width="19.33203125" style="9" customWidth="1"/>
    <col min="10506" max="10506" width="15" style="9" customWidth="1"/>
    <col min="10507" max="10507" width="9.6640625" style="9" bestFit="1" customWidth="1"/>
    <col min="10508" max="10754" width="8.6640625" style="9"/>
    <col min="10755" max="10756" width="10.6640625" style="9" customWidth="1"/>
    <col min="10757" max="10757" width="36.6640625" style="9" customWidth="1"/>
    <col min="10758" max="10758" width="35.44140625" style="9" customWidth="1"/>
    <col min="10759" max="10759" width="14.109375" style="9" customWidth="1"/>
    <col min="10760" max="10760" width="16" style="9" customWidth="1"/>
    <col min="10761" max="10761" width="19.33203125" style="9" customWidth="1"/>
    <col min="10762" max="10762" width="15" style="9" customWidth="1"/>
    <col min="10763" max="10763" width="9.6640625" style="9" bestFit="1" customWidth="1"/>
    <col min="10764" max="11010" width="8.6640625" style="9"/>
    <col min="11011" max="11012" width="10.6640625" style="9" customWidth="1"/>
    <col min="11013" max="11013" width="36.6640625" style="9" customWidth="1"/>
    <col min="11014" max="11014" width="35.44140625" style="9" customWidth="1"/>
    <col min="11015" max="11015" width="14.109375" style="9" customWidth="1"/>
    <col min="11016" max="11016" width="16" style="9" customWidth="1"/>
    <col min="11017" max="11017" width="19.33203125" style="9" customWidth="1"/>
    <col min="11018" max="11018" width="15" style="9" customWidth="1"/>
    <col min="11019" max="11019" width="9.6640625" style="9" bestFit="1" customWidth="1"/>
    <col min="11020" max="11266" width="8.6640625" style="9"/>
    <col min="11267" max="11268" width="10.6640625" style="9" customWidth="1"/>
    <col min="11269" max="11269" width="36.6640625" style="9" customWidth="1"/>
    <col min="11270" max="11270" width="35.44140625" style="9" customWidth="1"/>
    <col min="11271" max="11271" width="14.109375" style="9" customWidth="1"/>
    <col min="11272" max="11272" width="16" style="9" customWidth="1"/>
    <col min="11273" max="11273" width="19.33203125" style="9" customWidth="1"/>
    <col min="11274" max="11274" width="15" style="9" customWidth="1"/>
    <col min="11275" max="11275" width="9.6640625" style="9" bestFit="1" customWidth="1"/>
    <col min="11276" max="11522" width="8.6640625" style="9"/>
    <col min="11523" max="11524" width="10.6640625" style="9" customWidth="1"/>
    <col min="11525" max="11525" width="36.6640625" style="9" customWidth="1"/>
    <col min="11526" max="11526" width="35.44140625" style="9" customWidth="1"/>
    <col min="11527" max="11527" width="14.109375" style="9" customWidth="1"/>
    <col min="11528" max="11528" width="16" style="9" customWidth="1"/>
    <col min="11529" max="11529" width="19.33203125" style="9" customWidth="1"/>
    <col min="11530" max="11530" width="15" style="9" customWidth="1"/>
    <col min="11531" max="11531" width="9.6640625" style="9" bestFit="1" customWidth="1"/>
    <col min="11532" max="11778" width="8.6640625" style="9"/>
    <col min="11779" max="11780" width="10.6640625" style="9" customWidth="1"/>
    <col min="11781" max="11781" width="36.6640625" style="9" customWidth="1"/>
    <col min="11782" max="11782" width="35.44140625" style="9" customWidth="1"/>
    <col min="11783" max="11783" width="14.109375" style="9" customWidth="1"/>
    <col min="11784" max="11784" width="16" style="9" customWidth="1"/>
    <col min="11785" max="11785" width="19.33203125" style="9" customWidth="1"/>
    <col min="11786" max="11786" width="15" style="9" customWidth="1"/>
    <col min="11787" max="11787" width="9.6640625" style="9" bestFit="1" customWidth="1"/>
    <col min="11788" max="12034" width="8.6640625" style="9"/>
    <col min="12035" max="12036" width="10.6640625" style="9" customWidth="1"/>
    <col min="12037" max="12037" width="36.6640625" style="9" customWidth="1"/>
    <col min="12038" max="12038" width="35.44140625" style="9" customWidth="1"/>
    <col min="12039" max="12039" width="14.109375" style="9" customWidth="1"/>
    <col min="12040" max="12040" width="16" style="9" customWidth="1"/>
    <col min="12041" max="12041" width="19.33203125" style="9" customWidth="1"/>
    <col min="12042" max="12042" width="15" style="9" customWidth="1"/>
    <col min="12043" max="12043" width="9.6640625" style="9" bestFit="1" customWidth="1"/>
    <col min="12044" max="12290" width="8.6640625" style="9"/>
    <col min="12291" max="12292" width="10.6640625" style="9" customWidth="1"/>
    <col min="12293" max="12293" width="36.6640625" style="9" customWidth="1"/>
    <col min="12294" max="12294" width="35.44140625" style="9" customWidth="1"/>
    <col min="12295" max="12295" width="14.109375" style="9" customWidth="1"/>
    <col min="12296" max="12296" width="16" style="9" customWidth="1"/>
    <col min="12297" max="12297" width="19.33203125" style="9" customWidth="1"/>
    <col min="12298" max="12298" width="15" style="9" customWidth="1"/>
    <col min="12299" max="12299" width="9.6640625" style="9" bestFit="1" customWidth="1"/>
    <col min="12300" max="12546" width="8.6640625" style="9"/>
    <col min="12547" max="12548" width="10.6640625" style="9" customWidth="1"/>
    <col min="12549" max="12549" width="36.6640625" style="9" customWidth="1"/>
    <col min="12550" max="12550" width="35.44140625" style="9" customWidth="1"/>
    <col min="12551" max="12551" width="14.109375" style="9" customWidth="1"/>
    <col min="12552" max="12552" width="16" style="9" customWidth="1"/>
    <col min="12553" max="12553" width="19.33203125" style="9" customWidth="1"/>
    <col min="12554" max="12554" width="15" style="9" customWidth="1"/>
    <col min="12555" max="12555" width="9.6640625" style="9" bestFit="1" customWidth="1"/>
    <col min="12556" max="12802" width="8.6640625" style="9"/>
    <col min="12803" max="12804" width="10.6640625" style="9" customWidth="1"/>
    <col min="12805" max="12805" width="36.6640625" style="9" customWidth="1"/>
    <col min="12806" max="12806" width="35.44140625" style="9" customWidth="1"/>
    <col min="12807" max="12807" width="14.109375" style="9" customWidth="1"/>
    <col min="12808" max="12808" width="16" style="9" customWidth="1"/>
    <col min="12809" max="12809" width="19.33203125" style="9" customWidth="1"/>
    <col min="12810" max="12810" width="15" style="9" customWidth="1"/>
    <col min="12811" max="12811" width="9.6640625" style="9" bestFit="1" customWidth="1"/>
    <col min="12812" max="13058" width="8.6640625" style="9"/>
    <col min="13059" max="13060" width="10.6640625" style="9" customWidth="1"/>
    <col min="13061" max="13061" width="36.6640625" style="9" customWidth="1"/>
    <col min="13062" max="13062" width="35.44140625" style="9" customWidth="1"/>
    <col min="13063" max="13063" width="14.109375" style="9" customWidth="1"/>
    <col min="13064" max="13064" width="16" style="9" customWidth="1"/>
    <col min="13065" max="13065" width="19.33203125" style="9" customWidth="1"/>
    <col min="13066" max="13066" width="15" style="9" customWidth="1"/>
    <col min="13067" max="13067" width="9.6640625" style="9" bestFit="1" customWidth="1"/>
    <col min="13068" max="13314" width="8.6640625" style="9"/>
    <col min="13315" max="13316" width="10.6640625" style="9" customWidth="1"/>
    <col min="13317" max="13317" width="36.6640625" style="9" customWidth="1"/>
    <col min="13318" max="13318" width="35.44140625" style="9" customWidth="1"/>
    <col min="13319" max="13319" width="14.109375" style="9" customWidth="1"/>
    <col min="13320" max="13320" width="16" style="9" customWidth="1"/>
    <col min="13321" max="13321" width="19.33203125" style="9" customWidth="1"/>
    <col min="13322" max="13322" width="15" style="9" customWidth="1"/>
    <col min="13323" max="13323" width="9.6640625" style="9" bestFit="1" customWidth="1"/>
    <col min="13324" max="13570" width="8.6640625" style="9"/>
    <col min="13571" max="13572" width="10.6640625" style="9" customWidth="1"/>
    <col min="13573" max="13573" width="36.6640625" style="9" customWidth="1"/>
    <col min="13574" max="13574" width="35.44140625" style="9" customWidth="1"/>
    <col min="13575" max="13575" width="14.109375" style="9" customWidth="1"/>
    <col min="13576" max="13576" width="16" style="9" customWidth="1"/>
    <col min="13577" max="13577" width="19.33203125" style="9" customWidth="1"/>
    <col min="13578" max="13578" width="15" style="9" customWidth="1"/>
    <col min="13579" max="13579" width="9.6640625" style="9" bestFit="1" customWidth="1"/>
    <col min="13580" max="13826" width="8.6640625" style="9"/>
    <col min="13827" max="13828" width="10.6640625" style="9" customWidth="1"/>
    <col min="13829" max="13829" width="36.6640625" style="9" customWidth="1"/>
    <col min="13830" max="13830" width="35.44140625" style="9" customWidth="1"/>
    <col min="13831" max="13831" width="14.109375" style="9" customWidth="1"/>
    <col min="13832" max="13832" width="16" style="9" customWidth="1"/>
    <col min="13833" max="13833" width="19.33203125" style="9" customWidth="1"/>
    <col min="13834" max="13834" width="15" style="9" customWidth="1"/>
    <col min="13835" max="13835" width="9.6640625" style="9" bestFit="1" customWidth="1"/>
    <col min="13836" max="14082" width="8.6640625" style="9"/>
    <col min="14083" max="14084" width="10.6640625" style="9" customWidth="1"/>
    <col min="14085" max="14085" width="36.6640625" style="9" customWidth="1"/>
    <col min="14086" max="14086" width="35.44140625" style="9" customWidth="1"/>
    <col min="14087" max="14087" width="14.109375" style="9" customWidth="1"/>
    <col min="14088" max="14088" width="16" style="9" customWidth="1"/>
    <col min="14089" max="14089" width="19.33203125" style="9" customWidth="1"/>
    <col min="14090" max="14090" width="15" style="9" customWidth="1"/>
    <col min="14091" max="14091" width="9.6640625" style="9" bestFit="1" customWidth="1"/>
    <col min="14092" max="14338" width="8.6640625" style="9"/>
    <col min="14339" max="14340" width="10.6640625" style="9" customWidth="1"/>
    <col min="14341" max="14341" width="36.6640625" style="9" customWidth="1"/>
    <col min="14342" max="14342" width="35.44140625" style="9" customWidth="1"/>
    <col min="14343" max="14343" width="14.109375" style="9" customWidth="1"/>
    <col min="14344" max="14344" width="16" style="9" customWidth="1"/>
    <col min="14345" max="14345" width="19.33203125" style="9" customWidth="1"/>
    <col min="14346" max="14346" width="15" style="9" customWidth="1"/>
    <col min="14347" max="14347" width="9.6640625" style="9" bestFit="1" customWidth="1"/>
    <col min="14348" max="14594" width="8.6640625" style="9"/>
    <col min="14595" max="14596" width="10.6640625" style="9" customWidth="1"/>
    <col min="14597" max="14597" width="36.6640625" style="9" customWidth="1"/>
    <col min="14598" max="14598" width="35.44140625" style="9" customWidth="1"/>
    <col min="14599" max="14599" width="14.109375" style="9" customWidth="1"/>
    <col min="14600" max="14600" width="16" style="9" customWidth="1"/>
    <col min="14601" max="14601" width="19.33203125" style="9" customWidth="1"/>
    <col min="14602" max="14602" width="15" style="9" customWidth="1"/>
    <col min="14603" max="14603" width="9.6640625" style="9" bestFit="1" customWidth="1"/>
    <col min="14604" max="14850" width="8.6640625" style="9"/>
    <col min="14851" max="14852" width="10.6640625" style="9" customWidth="1"/>
    <col min="14853" max="14853" width="36.6640625" style="9" customWidth="1"/>
    <col min="14854" max="14854" width="35.44140625" style="9" customWidth="1"/>
    <col min="14855" max="14855" width="14.109375" style="9" customWidth="1"/>
    <col min="14856" max="14856" width="16" style="9" customWidth="1"/>
    <col min="14857" max="14857" width="19.33203125" style="9" customWidth="1"/>
    <col min="14858" max="14858" width="15" style="9" customWidth="1"/>
    <col min="14859" max="14859" width="9.6640625" style="9" bestFit="1" customWidth="1"/>
    <col min="14860" max="15106" width="8.6640625" style="9"/>
    <col min="15107" max="15108" width="10.6640625" style="9" customWidth="1"/>
    <col min="15109" max="15109" width="36.6640625" style="9" customWidth="1"/>
    <col min="15110" max="15110" width="35.44140625" style="9" customWidth="1"/>
    <col min="15111" max="15111" width="14.109375" style="9" customWidth="1"/>
    <col min="15112" max="15112" width="16" style="9" customWidth="1"/>
    <col min="15113" max="15113" width="19.33203125" style="9" customWidth="1"/>
    <col min="15114" max="15114" width="15" style="9" customWidth="1"/>
    <col min="15115" max="15115" width="9.6640625" style="9" bestFit="1" customWidth="1"/>
    <col min="15116" max="15362" width="8.6640625" style="9"/>
    <col min="15363" max="15364" width="10.6640625" style="9" customWidth="1"/>
    <col min="15365" max="15365" width="36.6640625" style="9" customWidth="1"/>
    <col min="15366" max="15366" width="35.44140625" style="9" customWidth="1"/>
    <col min="15367" max="15367" width="14.109375" style="9" customWidth="1"/>
    <col min="15368" max="15368" width="16" style="9" customWidth="1"/>
    <col min="15369" max="15369" width="19.33203125" style="9" customWidth="1"/>
    <col min="15370" max="15370" width="15" style="9" customWidth="1"/>
    <col min="15371" max="15371" width="9.6640625" style="9" bestFit="1" customWidth="1"/>
    <col min="15372" max="15618" width="8.6640625" style="9"/>
    <col min="15619" max="15620" width="10.6640625" style="9" customWidth="1"/>
    <col min="15621" max="15621" width="36.6640625" style="9" customWidth="1"/>
    <col min="15622" max="15622" width="35.44140625" style="9" customWidth="1"/>
    <col min="15623" max="15623" width="14.109375" style="9" customWidth="1"/>
    <col min="15624" max="15624" width="16" style="9" customWidth="1"/>
    <col min="15625" max="15625" width="19.33203125" style="9" customWidth="1"/>
    <col min="15626" max="15626" width="15" style="9" customWidth="1"/>
    <col min="15627" max="15627" width="9.6640625" style="9" bestFit="1" customWidth="1"/>
    <col min="15628" max="15874" width="8.6640625" style="9"/>
    <col min="15875" max="15876" width="10.6640625" style="9" customWidth="1"/>
    <col min="15877" max="15877" width="36.6640625" style="9" customWidth="1"/>
    <col min="15878" max="15878" width="35.44140625" style="9" customWidth="1"/>
    <col min="15879" max="15879" width="14.109375" style="9" customWidth="1"/>
    <col min="15880" max="15880" width="16" style="9" customWidth="1"/>
    <col min="15881" max="15881" width="19.33203125" style="9" customWidth="1"/>
    <col min="15882" max="15882" width="15" style="9" customWidth="1"/>
    <col min="15883" max="15883" width="9.6640625" style="9" bestFit="1" customWidth="1"/>
    <col min="15884" max="16130" width="8.6640625" style="9"/>
    <col min="16131" max="16132" width="10.6640625" style="9" customWidth="1"/>
    <col min="16133" max="16133" width="36.6640625" style="9" customWidth="1"/>
    <col min="16134" max="16134" width="35.44140625" style="9" customWidth="1"/>
    <col min="16135" max="16135" width="14.109375" style="9" customWidth="1"/>
    <col min="16136" max="16136" width="16" style="9" customWidth="1"/>
    <col min="16137" max="16137" width="19.33203125" style="9" customWidth="1"/>
    <col min="16138" max="16138" width="15" style="9" customWidth="1"/>
    <col min="16139" max="16139" width="9.6640625" style="9" bestFit="1" customWidth="1"/>
    <col min="16140" max="16384" width="8.6640625" style="9"/>
  </cols>
  <sheetData>
    <row r="1" spans="1:12" ht="16.2" thickBot="1">
      <c r="A1" s="505" t="s">
        <v>469</v>
      </c>
      <c r="B1" s="506"/>
      <c r="C1" s="506"/>
      <c r="D1" s="506"/>
      <c r="E1" s="506"/>
      <c r="F1" s="506"/>
      <c r="G1" s="507"/>
      <c r="H1" s="507"/>
      <c r="I1" s="508"/>
    </row>
    <row r="2" spans="1:12" ht="78.75" customHeight="1" thickBot="1">
      <c r="A2" s="509" t="s">
        <v>470</v>
      </c>
      <c r="B2" s="510"/>
      <c r="C2" s="511" t="str">
        <f>Resumo!E14</f>
        <v>BR-163/230/MT/PA</v>
      </c>
      <c r="D2" s="512"/>
      <c r="E2" s="513"/>
      <c r="F2" s="514" t="s">
        <v>471</v>
      </c>
      <c r="G2" s="515"/>
      <c r="H2" s="515"/>
      <c r="I2" s="516"/>
      <c r="L2" s="11"/>
    </row>
    <row r="3" spans="1:12" ht="16.2" thickBot="1">
      <c r="A3" s="520" t="s">
        <v>11</v>
      </c>
      <c r="B3" s="521"/>
      <c r="C3" s="522">
        <f>Resumo!G14</f>
        <v>1009.53</v>
      </c>
      <c r="D3" s="522"/>
      <c r="E3" s="523"/>
      <c r="F3" s="517"/>
      <c r="G3" s="518"/>
      <c r="H3" s="518"/>
      <c r="I3" s="519"/>
      <c r="J3" s="12"/>
      <c r="L3" s="13"/>
    </row>
    <row r="4" spans="1:12">
      <c r="A4" s="14"/>
      <c r="B4" s="14"/>
      <c r="C4" s="15"/>
      <c r="D4" s="16"/>
      <c r="E4" s="14"/>
      <c r="F4" s="14"/>
      <c r="G4" s="14"/>
      <c r="H4" s="14"/>
      <c r="I4" s="14"/>
    </row>
    <row r="5" spans="1:12" ht="15" thickBot="1">
      <c r="A5" s="17"/>
      <c r="B5" s="17"/>
      <c r="C5" s="17"/>
      <c r="D5" s="18"/>
      <c r="E5" s="17"/>
      <c r="F5" s="17"/>
      <c r="G5" s="17"/>
      <c r="H5" s="17"/>
      <c r="I5" s="17"/>
      <c r="J5" s="19"/>
      <c r="L5" s="20"/>
    </row>
    <row r="6" spans="1:12" ht="31.5" customHeight="1">
      <c r="A6" s="134" t="s">
        <v>12</v>
      </c>
      <c r="B6" s="135" t="s">
        <v>13</v>
      </c>
      <c r="C6" s="136" t="s">
        <v>14</v>
      </c>
      <c r="D6" s="136" t="s">
        <v>15</v>
      </c>
      <c r="E6" s="137" t="s">
        <v>16</v>
      </c>
      <c r="F6" s="137" t="s">
        <v>17</v>
      </c>
      <c r="G6" s="262" t="s">
        <v>255</v>
      </c>
      <c r="H6" s="262" t="s">
        <v>254</v>
      </c>
      <c r="I6" s="138" t="s">
        <v>18</v>
      </c>
      <c r="J6" s="21"/>
      <c r="K6" s="151"/>
      <c r="L6" s="22"/>
    </row>
    <row r="7" spans="1:12">
      <c r="A7" s="23"/>
      <c r="B7" s="24"/>
      <c r="C7" s="25" t="s">
        <v>19</v>
      </c>
      <c r="D7" s="26"/>
      <c r="E7" s="25"/>
      <c r="F7" s="25"/>
      <c r="G7" s="277"/>
      <c r="H7" s="290">
        <f>H9+H26+H29+H33+H36+H43+H12+H19+H22+H40</f>
        <v>27036.858649999998</v>
      </c>
      <c r="I7" s="27">
        <f>I9+I26+I29+I33+I36+I43+I12+I19+I22+I40</f>
        <v>111823.02146015</v>
      </c>
      <c r="J7" s="21"/>
      <c r="L7" s="28"/>
    </row>
    <row r="8" spans="1:12">
      <c r="A8" s="23"/>
      <c r="B8" s="24">
        <v>1</v>
      </c>
      <c r="C8" s="165" t="s">
        <v>20</v>
      </c>
      <c r="D8" s="113"/>
      <c r="E8" s="29"/>
      <c r="F8" s="30"/>
      <c r="G8" s="278"/>
      <c r="H8" s="290"/>
      <c r="I8" s="166"/>
      <c r="L8" s="31"/>
    </row>
    <row r="9" spans="1:12">
      <c r="A9" s="23"/>
      <c r="B9" s="24" t="s">
        <v>21</v>
      </c>
      <c r="C9" s="165" t="s">
        <v>22</v>
      </c>
      <c r="D9" s="113"/>
      <c r="E9" s="29"/>
      <c r="F9" s="30"/>
      <c r="G9" s="278"/>
      <c r="H9" s="290">
        <f>H10</f>
        <v>698.04808899999989</v>
      </c>
      <c r="I9" s="166">
        <f>I10</f>
        <v>829.82416666666654</v>
      </c>
      <c r="L9" s="31"/>
    </row>
    <row r="10" spans="1:12">
      <c r="A10" s="32" t="s">
        <v>641</v>
      </c>
      <c r="B10" s="33" t="s">
        <v>24</v>
      </c>
      <c r="C10" s="167" t="str">
        <f>VLOOKUP(A10,'Planilha base'!$C$11:$K$35,9,FALSE)</f>
        <v>Engenheiro consultor especial</v>
      </c>
      <c r="D10" s="36" t="s">
        <v>25</v>
      </c>
      <c r="E10" s="29">
        <f>1/24</f>
        <v>4.1666666666666664E-2</v>
      </c>
      <c r="F10" s="43">
        <f>VLOOKUP(A10,'Planilha base'!$C$11:$K$35,6,FALSE)</f>
        <v>19915.78</v>
      </c>
      <c r="G10" s="205">
        <f>VLOOKUP(A10,'Planilha base'!$C$11:$K$35,4,FALSE)</f>
        <v>0.84119999999999995</v>
      </c>
      <c r="H10" s="287">
        <f>E10*F10*G10</f>
        <v>698.04808899999989</v>
      </c>
      <c r="I10" s="168">
        <f>E10*F10</f>
        <v>829.82416666666654</v>
      </c>
      <c r="K10" s="152"/>
      <c r="L10" s="31"/>
    </row>
    <row r="11" spans="1:12">
      <c r="A11" s="23"/>
      <c r="B11" s="24"/>
      <c r="C11" s="165"/>
      <c r="D11" s="113"/>
      <c r="E11" s="29"/>
      <c r="F11" s="30"/>
      <c r="G11" s="278"/>
      <c r="H11" s="290"/>
      <c r="I11" s="166"/>
      <c r="L11" s="31"/>
    </row>
    <row r="12" spans="1:12">
      <c r="A12" s="23"/>
      <c r="B12" s="24" t="s">
        <v>26</v>
      </c>
      <c r="C12" s="35" t="s">
        <v>27</v>
      </c>
      <c r="D12" s="36"/>
      <c r="E12" s="29"/>
      <c r="F12" s="169"/>
      <c r="G12" s="255"/>
      <c r="H12" s="290">
        <f>SUM(H13:H17)</f>
        <v>17771.598026</v>
      </c>
      <c r="I12" s="170">
        <f>SUM(I13:I17)</f>
        <v>20133.86</v>
      </c>
      <c r="L12" s="31"/>
    </row>
    <row r="13" spans="1:12">
      <c r="A13" s="32" t="s">
        <v>643</v>
      </c>
      <c r="B13" s="33" t="s">
        <v>29</v>
      </c>
      <c r="C13" s="167" t="str">
        <f>VLOOKUP(A13,'Planilha base'!$C$11:$K$35,9,FALSE)</f>
        <v>Engenheiro coordenador</v>
      </c>
      <c r="D13" s="36" t="s">
        <v>30</v>
      </c>
      <c r="E13" s="29">
        <v>1</v>
      </c>
      <c r="F13" s="43">
        <f>VLOOKUP(A13,'Planilha base'!$C$11:$K$35,6,FALSE)</f>
        <v>16596.48</v>
      </c>
      <c r="G13" s="205">
        <f>VLOOKUP(A13,'Planilha base'!$C$11:$K$35,4,FALSE)</f>
        <v>0.8498</v>
      </c>
      <c r="H13" s="287">
        <f>E13*F13*G13</f>
        <v>14103.688704</v>
      </c>
      <c r="I13" s="168">
        <f>E13*F13</f>
        <v>16596.48</v>
      </c>
      <c r="K13" s="152"/>
      <c r="L13" s="31"/>
    </row>
    <row r="14" spans="1:12">
      <c r="A14" s="32" t="s">
        <v>655</v>
      </c>
      <c r="B14" s="33" t="s">
        <v>32</v>
      </c>
      <c r="C14" s="167" t="str">
        <f>VLOOKUP(A14,'Planilha base'!$C$11:$K$35,9,FALSE)</f>
        <v>Engenheiro de projetos sênior</v>
      </c>
      <c r="D14" s="36" t="s">
        <v>30</v>
      </c>
      <c r="E14" s="29">
        <v>0</v>
      </c>
      <c r="F14" s="43">
        <f>VLOOKUP(A14,'Planilha base'!$C$11:$K$35,6,FALSE)</f>
        <v>13887.45</v>
      </c>
      <c r="G14" s="205">
        <f>VLOOKUP(A14,'Planilha base'!$C$11:$K$35,4,FALSE)</f>
        <v>0.86</v>
      </c>
      <c r="H14" s="287">
        <f t="shared" ref="H14:H17" si="0">E14*F14*G14</f>
        <v>0</v>
      </c>
      <c r="I14" s="168">
        <f t="shared" ref="I14:I17" si="1">E14*F14</f>
        <v>0</v>
      </c>
      <c r="K14" s="152"/>
      <c r="L14" s="31"/>
    </row>
    <row r="15" spans="1:12">
      <c r="A15" s="32" t="s">
        <v>653</v>
      </c>
      <c r="B15" s="33" t="s">
        <v>34</v>
      </c>
      <c r="C15" s="167" t="str">
        <f>VLOOKUP(A15,'Planilha base'!$C$11:$K$35,9,FALSE)</f>
        <v>Engenheiro de projetos pleno</v>
      </c>
      <c r="D15" s="36" t="s">
        <v>30</v>
      </c>
      <c r="E15" s="29">
        <v>0</v>
      </c>
      <c r="F15" s="43">
        <f>VLOOKUP(A15,'Planilha base'!$C$11:$K$35,6,FALSE)</f>
        <v>10528.02</v>
      </c>
      <c r="G15" s="205">
        <f>VLOOKUP(A15,'Planilha base'!$C$11:$K$35,4,FALSE)</f>
        <v>0.87970000000000004</v>
      </c>
      <c r="H15" s="287">
        <f t="shared" si="0"/>
        <v>0</v>
      </c>
      <c r="I15" s="168">
        <f t="shared" si="1"/>
        <v>0</v>
      </c>
      <c r="K15" s="152"/>
      <c r="L15" s="31"/>
    </row>
    <row r="16" spans="1:12">
      <c r="A16" s="32" t="s">
        <v>651</v>
      </c>
      <c r="B16" s="33" t="s">
        <v>36</v>
      </c>
      <c r="C16" s="167" t="str">
        <f>VLOOKUP(A16,'Planilha base'!$C$11:$K$35,9,FALSE)</f>
        <v>Engenheiro de projetos júnior</v>
      </c>
      <c r="D16" s="36" t="s">
        <v>30</v>
      </c>
      <c r="E16" s="29">
        <v>0</v>
      </c>
      <c r="F16" s="43">
        <f>VLOOKUP(A16,'Planilha base'!$C$11:$K$35,6,FALSE)</f>
        <v>9350</v>
      </c>
      <c r="G16" s="205">
        <f>VLOOKUP(A16,'Planilha base'!$C$11:$K$35,4,FALSE)</f>
        <v>0.89</v>
      </c>
      <c r="H16" s="287">
        <f t="shared" si="0"/>
        <v>0</v>
      </c>
      <c r="I16" s="168">
        <f t="shared" si="1"/>
        <v>0</v>
      </c>
      <c r="K16" s="152"/>
      <c r="L16" s="31"/>
    </row>
    <row r="17" spans="1:13">
      <c r="A17" s="32" t="s">
        <v>607</v>
      </c>
      <c r="B17" s="33" t="s">
        <v>37</v>
      </c>
      <c r="C17" s="167" t="str">
        <f>VLOOKUP(A17,'Planilha base'!$C$11:$K$35,9,FALSE)</f>
        <v>Chefe de escritório</v>
      </c>
      <c r="D17" s="36" t="s">
        <v>30</v>
      </c>
      <c r="E17" s="29">
        <v>1</v>
      </c>
      <c r="F17" s="43">
        <f>VLOOKUP(A17,'Planilha base'!$C$11:$K$35,6,FALSE)</f>
        <v>3537.38</v>
      </c>
      <c r="G17" s="205">
        <f>VLOOKUP(A17,'Planilha base'!$C$11:$K$35,4,FALSE)</f>
        <v>1.0368999999999999</v>
      </c>
      <c r="H17" s="287">
        <f t="shared" si="0"/>
        <v>3667.909322</v>
      </c>
      <c r="I17" s="168">
        <f t="shared" si="1"/>
        <v>3537.38</v>
      </c>
      <c r="K17" s="152"/>
      <c r="L17" s="31"/>
    </row>
    <row r="18" spans="1:13">
      <c r="A18" s="32"/>
      <c r="B18" s="33"/>
      <c r="C18" s="37"/>
      <c r="D18" s="36"/>
      <c r="E18" s="29"/>
      <c r="F18" s="171"/>
      <c r="G18" s="279"/>
      <c r="H18" s="291"/>
      <c r="I18" s="168"/>
      <c r="L18" s="31"/>
    </row>
    <row r="19" spans="1:13">
      <c r="A19" s="23"/>
      <c r="B19" s="24" t="s">
        <v>38</v>
      </c>
      <c r="C19" s="35" t="s">
        <v>39</v>
      </c>
      <c r="D19" s="36"/>
      <c r="E19" s="29"/>
      <c r="F19" s="171"/>
      <c r="G19" s="279"/>
      <c r="H19" s="292">
        <f>SUM(H20:H20)</f>
        <v>0</v>
      </c>
      <c r="I19" s="170">
        <f>SUM(I20:I20)</f>
        <v>0</v>
      </c>
      <c r="L19" s="31"/>
    </row>
    <row r="20" spans="1:13">
      <c r="A20" s="32" t="s">
        <v>719</v>
      </c>
      <c r="B20" s="33" t="s">
        <v>40</v>
      </c>
      <c r="C20" s="167" t="str">
        <f>VLOOKUP(A20,'Planilha base'!$C$11:$K$35,9,FALSE)</f>
        <v>Técnico de obras</v>
      </c>
      <c r="D20" s="36" t="s">
        <v>30</v>
      </c>
      <c r="E20" s="29">
        <v>0</v>
      </c>
      <c r="F20" s="43">
        <f>VLOOKUP(A20,'Planilha base'!$C$11:$K$35,6,FALSE)</f>
        <v>2436.42</v>
      </c>
      <c r="G20" s="205">
        <f>VLOOKUP(A20,'Planilha base'!$C$11:$K$35,4,FALSE)</f>
        <v>1.0971</v>
      </c>
      <c r="H20" s="287">
        <f t="shared" ref="H20" si="2">E20*F20*G20</f>
        <v>0</v>
      </c>
      <c r="I20" s="168">
        <f>E20*F20</f>
        <v>0</v>
      </c>
      <c r="K20" s="152"/>
      <c r="L20" s="31"/>
    </row>
    <row r="21" spans="1:13">
      <c r="A21" s="32"/>
      <c r="B21" s="33"/>
      <c r="C21" s="37"/>
      <c r="D21" s="36"/>
      <c r="E21" s="29"/>
      <c r="F21" s="171"/>
      <c r="G21" s="279"/>
      <c r="H21" s="291"/>
      <c r="I21" s="168"/>
      <c r="L21" s="31"/>
    </row>
    <row r="22" spans="1:13">
      <c r="A22" s="32"/>
      <c r="B22" s="24" t="s">
        <v>43</v>
      </c>
      <c r="C22" s="35" t="s">
        <v>44</v>
      </c>
      <c r="D22" s="36"/>
      <c r="E22" s="29"/>
      <c r="F22" s="171"/>
      <c r="G22" s="279"/>
      <c r="H22" s="292">
        <f>SUM(H23:H24)</f>
        <v>8567.2125349999988</v>
      </c>
      <c r="I22" s="170">
        <f>SUM(I23:I24)</f>
        <v>6898.22</v>
      </c>
      <c r="L22" s="31"/>
    </row>
    <row r="23" spans="1:13">
      <c r="A23" s="32" t="s">
        <v>713</v>
      </c>
      <c r="B23" s="33" t="s">
        <v>46</v>
      </c>
      <c r="C23" s="167" t="str">
        <f>VLOOKUP(A23,'Planilha base'!$C$11:$K$35,9,FALSE)</f>
        <v>Secretária</v>
      </c>
      <c r="D23" s="36" t="s">
        <v>30</v>
      </c>
      <c r="E23" s="29">
        <v>1</v>
      </c>
      <c r="F23" s="43">
        <f>VLOOKUP(A23,'Planilha base'!$C$11:$K$35,6,FALSE)</f>
        <v>5326.83</v>
      </c>
      <c r="G23" s="205">
        <f>VLOOKUP(A23,'Planilha base'!$C$11:$K$35,4,FALSE)</f>
        <v>1.1964999999999999</v>
      </c>
      <c r="H23" s="287">
        <f t="shared" ref="H23:H24" si="3">E23*F23*G23</f>
        <v>6373.5520949999991</v>
      </c>
      <c r="I23" s="168">
        <f>E23*F23</f>
        <v>5326.83</v>
      </c>
      <c r="K23" s="152"/>
      <c r="L23" s="31"/>
    </row>
    <row r="24" spans="1:13">
      <c r="A24" s="32" t="s">
        <v>595</v>
      </c>
      <c r="B24" s="33" t="s">
        <v>49</v>
      </c>
      <c r="C24" s="167" t="str">
        <f>VLOOKUP(A24,'Planilha base'!$C$11:$K$35,9,FALSE)</f>
        <v>Auxiliar administrativo</v>
      </c>
      <c r="D24" s="36" t="s">
        <v>30</v>
      </c>
      <c r="E24" s="29">
        <v>1</v>
      </c>
      <c r="F24" s="43">
        <f>VLOOKUP(A24,'Planilha base'!$C$11:$K$35,6,FALSE)</f>
        <v>1571.39</v>
      </c>
      <c r="G24" s="205">
        <f>VLOOKUP(A24,'Planilha base'!$C$11:$K$35,4,FALSE)</f>
        <v>1.3959999999999999</v>
      </c>
      <c r="H24" s="287">
        <f t="shared" si="3"/>
        <v>2193.6604400000001</v>
      </c>
      <c r="I24" s="168">
        <f>E24*F24</f>
        <v>1571.39</v>
      </c>
      <c r="K24" s="152"/>
      <c r="L24" s="31"/>
    </row>
    <row r="25" spans="1:13">
      <c r="A25" s="32"/>
      <c r="B25" s="33"/>
      <c r="C25" s="172"/>
      <c r="D25" s="172"/>
      <c r="E25" s="29"/>
      <c r="F25" s="173"/>
      <c r="G25" s="280"/>
      <c r="H25" s="288"/>
      <c r="I25" s="170"/>
      <c r="L25" s="31"/>
    </row>
    <row r="26" spans="1:13">
      <c r="A26" s="23"/>
      <c r="B26" s="24">
        <v>2</v>
      </c>
      <c r="C26" s="35" t="s">
        <v>334</v>
      </c>
      <c r="D26" s="39"/>
      <c r="E26" s="29"/>
      <c r="F26" s="115"/>
      <c r="G26" s="281"/>
      <c r="H26" s="288">
        <f>H27</f>
        <v>0</v>
      </c>
      <c r="I26" s="170">
        <f>I27</f>
        <v>11014.654656233333</v>
      </c>
      <c r="L26" s="31"/>
    </row>
    <row r="27" spans="1:13">
      <c r="A27" s="32"/>
      <c r="B27" s="33" t="s">
        <v>51</v>
      </c>
      <c r="C27" s="37" t="s">
        <v>334</v>
      </c>
      <c r="D27" s="38" t="s">
        <v>52</v>
      </c>
      <c r="E27" s="29">
        <f>(I22+I19+I12+I9)+(H9+H12+H19+H22)+I29+I33+I36+I40</f>
        <v>96450.566166666671</v>
      </c>
      <c r="F27" s="115">
        <f>'Planilha base'!H39</f>
        <v>0.1142</v>
      </c>
      <c r="G27" s="281"/>
      <c r="H27" s="287"/>
      <c r="I27" s="168">
        <f>E27*F27</f>
        <v>11014.654656233333</v>
      </c>
      <c r="L27" s="31"/>
    </row>
    <row r="28" spans="1:13">
      <c r="A28" s="23"/>
      <c r="B28" s="24"/>
      <c r="C28" s="35"/>
      <c r="D28" s="38"/>
      <c r="E28" s="29"/>
      <c r="F28" s="174"/>
      <c r="G28" s="282"/>
      <c r="H28" s="287"/>
      <c r="I28" s="170"/>
      <c r="L28" s="31"/>
    </row>
    <row r="29" spans="1:13" s="41" customFormat="1">
      <c r="A29" s="23"/>
      <c r="B29" s="24">
        <v>3</v>
      </c>
      <c r="C29" s="35" t="s">
        <v>55</v>
      </c>
      <c r="D29" s="39"/>
      <c r="E29" s="40"/>
      <c r="F29" s="175"/>
      <c r="G29" s="283"/>
      <c r="H29" s="288">
        <f>SUM(H30:H31)</f>
        <v>0</v>
      </c>
      <c r="I29" s="170">
        <f>SUM(I30:I31)</f>
        <v>5401.4795999999997</v>
      </c>
      <c r="K29" s="153"/>
      <c r="L29" s="31"/>
      <c r="M29" s="42"/>
    </row>
    <row r="30" spans="1:13">
      <c r="A30" s="32" t="s">
        <v>742</v>
      </c>
      <c r="B30" s="33" t="s">
        <v>54</v>
      </c>
      <c r="C30" s="167" t="str">
        <f>VLOOKUP(A30,'Planilha base'!$C$11:$K$35,9,FALSE)</f>
        <v>Veículo leve - tipo hatch - (sem motorista)</v>
      </c>
      <c r="D30" s="36" t="s">
        <v>57</v>
      </c>
      <c r="E30" s="29">
        <v>2</v>
      </c>
      <c r="F30" s="43">
        <f>VLOOKUP(A30,'Planilha base'!$C$11:$K$35,6,FALSE)</f>
        <v>2700.7397999999998</v>
      </c>
      <c r="G30" s="284"/>
      <c r="H30" s="287"/>
      <c r="I30" s="168">
        <f>E30*F30</f>
        <v>5401.4795999999997</v>
      </c>
      <c r="K30" s="152"/>
      <c r="L30" s="31"/>
    </row>
    <row r="31" spans="1:13">
      <c r="A31" s="32" t="s">
        <v>743</v>
      </c>
      <c r="B31" s="33" t="s">
        <v>262</v>
      </c>
      <c r="C31" s="167" t="str">
        <f>VLOOKUP(A31,'Planilha base'!$C$11:$K$35,9,FALSE)</f>
        <v>Veículo leve - tipo pick up 4 x 4 - (sem motorista)</v>
      </c>
      <c r="D31" s="36" t="s">
        <v>57</v>
      </c>
      <c r="E31" s="29"/>
      <c r="F31" s="43">
        <f>VLOOKUP(A31,'Planilha base'!$C$11:$K$35,6,FALSE)</f>
        <v>6719.6316000000006</v>
      </c>
      <c r="G31" s="284"/>
      <c r="H31" s="287"/>
      <c r="I31" s="168">
        <f>E31*F31</f>
        <v>0</v>
      </c>
      <c r="K31" s="152"/>
      <c r="L31" s="31"/>
    </row>
    <row r="32" spans="1:13">
      <c r="A32" s="32"/>
      <c r="B32" s="33"/>
      <c r="C32" s="176"/>
      <c r="D32" s="38"/>
      <c r="E32" s="29"/>
      <c r="F32" s="43"/>
      <c r="G32" s="284"/>
      <c r="H32" s="287"/>
      <c r="I32" s="170"/>
      <c r="L32" s="31"/>
    </row>
    <row r="33" spans="1:12">
      <c r="A33" s="23"/>
      <c r="B33" s="24">
        <v>4</v>
      </c>
      <c r="C33" s="35" t="s">
        <v>252</v>
      </c>
      <c r="D33" s="39"/>
      <c r="E33" s="39"/>
      <c r="F33" s="44"/>
      <c r="G33" s="285"/>
      <c r="H33" s="288">
        <f>H34</f>
        <v>0</v>
      </c>
      <c r="I33" s="170">
        <f>I34</f>
        <v>1867.5</v>
      </c>
      <c r="K33" s="154"/>
      <c r="L33" s="31"/>
    </row>
    <row r="34" spans="1:12">
      <c r="A34" s="32" t="s">
        <v>744</v>
      </c>
      <c r="B34" s="33" t="s">
        <v>56</v>
      </c>
      <c r="C34" s="167" t="str">
        <f>VLOOKUP(A34,'Planilha base'!$C$11:$K$35,9,FALSE)</f>
        <v>Custos Diversos Escritório</v>
      </c>
      <c r="D34" s="36" t="s">
        <v>253</v>
      </c>
      <c r="E34" s="29">
        <f>ROUNDUP((((SUM($I$54:$I$58)/SUM($E$54:$E$58))+$F$59)/'Planilha base'!$H$38)+$E$13+$E$17+$E$23+$E$24,0)</f>
        <v>15</v>
      </c>
      <c r="F34" s="43">
        <f>VLOOKUP(A34,'Planilha base'!$C$11:$K$35,6,FALSE)</f>
        <v>124.5</v>
      </c>
      <c r="G34" s="284"/>
      <c r="H34" s="287"/>
      <c r="I34" s="168">
        <f>E34*F34</f>
        <v>1867.5</v>
      </c>
      <c r="K34" s="154"/>
      <c r="L34" s="31"/>
    </row>
    <row r="35" spans="1:12">
      <c r="A35" s="32"/>
      <c r="B35" s="33"/>
      <c r="C35" s="37"/>
      <c r="D35" s="38"/>
      <c r="E35" s="47"/>
      <c r="F35" s="43"/>
      <c r="G35" s="284"/>
      <c r="H35" s="287"/>
      <c r="I35" s="170"/>
      <c r="L35" s="31"/>
    </row>
    <row r="36" spans="1:12">
      <c r="A36" s="23"/>
      <c r="B36" s="24">
        <v>5</v>
      </c>
      <c r="C36" s="30" t="s">
        <v>59</v>
      </c>
      <c r="D36" s="39"/>
      <c r="E36" s="39"/>
      <c r="F36" s="44"/>
      <c r="G36" s="285"/>
      <c r="H36" s="288">
        <f>SUM(H37:H38)</f>
        <v>0</v>
      </c>
      <c r="I36" s="170">
        <f>SUM(I37:I38)</f>
        <v>11800.32375</v>
      </c>
      <c r="L36" s="31"/>
    </row>
    <row r="37" spans="1:12">
      <c r="A37" s="32" t="s">
        <v>745</v>
      </c>
      <c r="B37" s="33" t="s">
        <v>263</v>
      </c>
      <c r="C37" s="167" t="str">
        <f>VLOOKUP(A37,'Planilha base'!$C$11:$K$35,9,FALSE)</f>
        <v>Imóvel Comercial (2,32% do C.M.C.C - SINAPI)</v>
      </c>
      <c r="D37" s="36" t="s">
        <v>253</v>
      </c>
      <c r="E37" s="29">
        <f>ROUNDUP((((SUM($I$54:$I$58)/SUM($E$54:$E$58))+$F$59)/'Planilha base'!$H$38)+$E$13+$E$17+$E$23+$E$24,0)</f>
        <v>15</v>
      </c>
      <c r="F37" s="43">
        <f>VLOOKUP(A37,'Planilha base'!$C$11:$K$35,6,FALSE)</f>
        <v>40.049999999999997</v>
      </c>
      <c r="G37" s="284"/>
      <c r="H37" s="287"/>
      <c r="I37" s="168">
        <f>((57.95/2)+(4.5*E37))*F37</f>
        <v>3863.8237499999996</v>
      </c>
      <c r="K37" s="152"/>
      <c r="L37" s="31"/>
    </row>
    <row r="38" spans="1:12">
      <c r="A38" s="32" t="s">
        <v>746</v>
      </c>
      <c r="B38" s="33" t="s">
        <v>264</v>
      </c>
      <c r="C38" s="167" t="str">
        <f>VLOOKUP(A38,'Planilha base'!$C$11:$K$35,9,FALSE)</f>
        <v>Mobiliário Escritório</v>
      </c>
      <c r="D38" s="36" t="s">
        <v>253</v>
      </c>
      <c r="E38" s="29">
        <f>ROUNDUP((((SUM($I$54:$I$58)/SUM($E$54:$E$58))+$F$59)/'Planilha base'!$H$38)+$E$13+$E$17+$E$23+$E$24,0)</f>
        <v>15</v>
      </c>
      <c r="F38" s="43">
        <f>VLOOKUP(A38,'Planilha base'!$C$11:$K$35,6,FALSE)</f>
        <v>529.1</v>
      </c>
      <c r="G38" s="284"/>
      <c r="H38" s="287"/>
      <c r="I38" s="168">
        <f>E38*F38</f>
        <v>7936.5</v>
      </c>
      <c r="K38" s="152"/>
      <c r="L38" s="31"/>
    </row>
    <row r="39" spans="1:12">
      <c r="A39" s="32"/>
      <c r="B39" s="33"/>
      <c r="C39" s="37"/>
      <c r="D39" s="38"/>
      <c r="E39" s="47"/>
      <c r="F39" s="43"/>
      <c r="G39" s="284"/>
      <c r="H39" s="287"/>
      <c r="I39" s="170"/>
      <c r="K39" s="152"/>
    </row>
    <row r="40" spans="1:12">
      <c r="A40" s="32"/>
      <c r="B40" s="24">
        <v>6</v>
      </c>
      <c r="C40" s="35" t="s">
        <v>63</v>
      </c>
      <c r="D40" s="38"/>
      <c r="E40" s="47"/>
      <c r="F40" s="43"/>
      <c r="G40" s="284"/>
      <c r="H40" s="288">
        <f>SUM(H41:H41)</f>
        <v>0</v>
      </c>
      <c r="I40" s="170">
        <f>SUM(I41:I41)</f>
        <v>22482.5</v>
      </c>
      <c r="K40" s="152"/>
    </row>
    <row r="41" spans="1:12">
      <c r="A41" s="32"/>
      <c r="B41" s="33" t="s">
        <v>58</v>
      </c>
      <c r="C41" s="37" t="s">
        <v>64</v>
      </c>
      <c r="D41" s="38" t="s">
        <v>65</v>
      </c>
      <c r="E41" s="47">
        <f>Diárias!E14</f>
        <v>100</v>
      </c>
      <c r="F41" s="43">
        <f>'Planilha base'!H53</f>
        <v>224.82499999999999</v>
      </c>
      <c r="G41" s="284"/>
      <c r="H41" s="287"/>
      <c r="I41" s="168">
        <f>E41*F41</f>
        <v>22482.5</v>
      </c>
      <c r="K41" s="152"/>
    </row>
    <row r="42" spans="1:12">
      <c r="A42" s="32"/>
      <c r="B42" s="33"/>
      <c r="C42" s="37"/>
      <c r="D42" s="38"/>
      <c r="E42" s="47"/>
      <c r="F42" s="43"/>
      <c r="G42" s="284"/>
      <c r="H42" s="287"/>
      <c r="I42" s="170"/>
      <c r="L42" s="31"/>
    </row>
    <row r="43" spans="1:12">
      <c r="A43" s="23"/>
      <c r="B43" s="24">
        <v>7</v>
      </c>
      <c r="C43" s="35" t="s">
        <v>66</v>
      </c>
      <c r="D43" s="39"/>
      <c r="E43" s="39"/>
      <c r="F43" s="49"/>
      <c r="G43" s="286"/>
      <c r="H43" s="288">
        <f>SUM(H44:H45)</f>
        <v>0</v>
      </c>
      <c r="I43" s="170">
        <f>SUM(I44:I45)</f>
        <v>31394.659287250004</v>
      </c>
      <c r="L43" s="31"/>
    </row>
    <row r="44" spans="1:12">
      <c r="A44" s="32"/>
      <c r="B44" s="33" t="s">
        <v>60</v>
      </c>
      <c r="C44" s="37" t="s">
        <v>67</v>
      </c>
      <c r="D44" s="47" t="s">
        <v>52</v>
      </c>
      <c r="E44" s="29">
        <f>(I22+I19+I12+I9)+(H9+H12+H19+H22)+I29+I33+I36+I40</f>
        <v>96450.566166666671</v>
      </c>
      <c r="F44" s="115">
        <f>'Planilha base'!H40</f>
        <v>0.12</v>
      </c>
      <c r="G44" s="281"/>
      <c r="H44" s="287"/>
      <c r="I44" s="168">
        <f>E44*F44</f>
        <v>11574.067940000001</v>
      </c>
      <c r="L44" s="31"/>
    </row>
    <row r="45" spans="1:12">
      <c r="A45" s="32"/>
      <c r="B45" s="33" t="s">
        <v>62</v>
      </c>
      <c r="C45" s="37" t="s">
        <v>68</v>
      </c>
      <c r="D45" s="47" t="s">
        <v>52</v>
      </c>
      <c r="E45" s="29">
        <f>(I22+I19+I12+I9)+(H9+H12+H19+H22)+I29+I33+I36+I40</f>
        <v>96450.566166666671</v>
      </c>
      <c r="F45" s="115">
        <f>'Planilha base'!H41</f>
        <v>0.20550000000000002</v>
      </c>
      <c r="G45" s="281"/>
      <c r="H45" s="287"/>
      <c r="I45" s="168">
        <f>E45*F45</f>
        <v>19820.591347250003</v>
      </c>
      <c r="L45" s="31"/>
    </row>
    <row r="46" spans="1:12">
      <c r="A46" s="32"/>
      <c r="B46" s="33"/>
      <c r="C46" s="46"/>
      <c r="D46" s="47"/>
      <c r="E46" s="47"/>
      <c r="F46" s="47"/>
      <c r="G46" s="255"/>
      <c r="H46" s="289"/>
      <c r="I46" s="34"/>
      <c r="L46" s="31"/>
    </row>
    <row r="47" spans="1:12" ht="15" thickBot="1">
      <c r="A47" s="50"/>
      <c r="B47" s="51"/>
      <c r="C47" s="524" t="s">
        <v>69</v>
      </c>
      <c r="D47" s="524"/>
      <c r="E47" s="524"/>
      <c r="F47" s="524"/>
      <c r="G47" s="256"/>
      <c r="H47" s="256"/>
      <c r="I47" s="52">
        <f>I7+H7</f>
        <v>138859.88011015</v>
      </c>
      <c r="J47" s="53"/>
      <c r="K47" s="155"/>
      <c r="L47" s="31"/>
    </row>
    <row r="48" spans="1:12" ht="15" thickBot="1">
      <c r="A48" s="50"/>
      <c r="B48" s="51"/>
      <c r="C48" s="524" t="s">
        <v>70</v>
      </c>
      <c r="D48" s="524"/>
      <c r="E48" s="524"/>
      <c r="F48" s="524"/>
      <c r="G48" s="256"/>
      <c r="H48" s="256"/>
      <c r="I48" s="52">
        <f>I47*12</f>
        <v>1666318.5613218001</v>
      </c>
      <c r="J48" s="54"/>
      <c r="K48" s="156"/>
      <c r="L48" s="31"/>
    </row>
    <row r="49" spans="1:12">
      <c r="A49" s="55"/>
      <c r="B49" s="55"/>
      <c r="C49" s="55"/>
      <c r="D49" s="56"/>
      <c r="E49" s="55"/>
      <c r="F49" s="55"/>
      <c r="G49" s="55"/>
      <c r="H49" s="55"/>
      <c r="I49" s="55"/>
    </row>
    <row r="50" spans="1:12" ht="15" thickBot="1"/>
    <row r="51" spans="1:12" ht="15.6">
      <c r="A51" s="525" t="s">
        <v>71</v>
      </c>
      <c r="B51" s="525"/>
      <c r="C51" s="525"/>
      <c r="D51" s="525"/>
      <c r="E51" s="525"/>
      <c r="F51" s="525"/>
      <c r="G51" s="526"/>
      <c r="H51" s="526"/>
      <c r="I51" s="525"/>
    </row>
    <row r="52" spans="1:12" ht="15" thickBot="1">
      <c r="A52" s="58"/>
      <c r="B52" s="58"/>
      <c r="C52" s="59"/>
      <c r="D52" s="59"/>
      <c r="E52" s="59"/>
      <c r="F52" s="60"/>
      <c r="G52" s="60"/>
      <c r="H52" s="60"/>
    </row>
    <row r="53" spans="1:12">
      <c r="A53" s="527" t="s">
        <v>12</v>
      </c>
      <c r="B53" s="528"/>
      <c r="C53" s="139" t="s">
        <v>14</v>
      </c>
      <c r="D53" s="140"/>
      <c r="E53" s="141" t="s">
        <v>72</v>
      </c>
      <c r="F53" s="141" t="s">
        <v>73</v>
      </c>
      <c r="G53" s="263"/>
      <c r="H53" s="263"/>
      <c r="I53" s="142" t="s">
        <v>74</v>
      </c>
    </row>
    <row r="54" spans="1:12">
      <c r="A54" s="503" t="s">
        <v>75</v>
      </c>
      <c r="B54" s="504"/>
      <c r="C54" s="177" t="s">
        <v>76</v>
      </c>
      <c r="D54" s="178"/>
      <c r="E54" s="84">
        <f>'Relatorios LOTE 04'!D139</f>
        <v>1</v>
      </c>
      <c r="F54" s="86">
        <f>'Relatorios LOTE 04'!D25</f>
        <v>666.28980000000001</v>
      </c>
      <c r="G54" s="257"/>
      <c r="H54" s="257"/>
      <c r="I54" s="85">
        <f t="shared" ref="I54:I59" si="4">F54*E54</f>
        <v>666.28980000000001</v>
      </c>
    </row>
    <row r="55" spans="1:12">
      <c r="A55" s="503" t="s">
        <v>77</v>
      </c>
      <c r="B55" s="504"/>
      <c r="C55" s="177" t="s">
        <v>78</v>
      </c>
      <c r="D55" s="178"/>
      <c r="E55" s="84">
        <f>'Relatorios LOTE 04'!D140</f>
        <v>1</v>
      </c>
      <c r="F55" s="86">
        <f>'Relatorios LOTE 04'!D48</f>
        <v>363.43080000000003</v>
      </c>
      <c r="G55" s="257"/>
      <c r="H55" s="257"/>
      <c r="I55" s="85">
        <f t="shared" si="4"/>
        <v>363.43080000000003</v>
      </c>
    </row>
    <row r="56" spans="1:12">
      <c r="A56" s="503" t="s">
        <v>79</v>
      </c>
      <c r="B56" s="504"/>
      <c r="C56" s="177" t="s">
        <v>80</v>
      </c>
      <c r="D56" s="178"/>
      <c r="E56" s="84">
        <f>'Relatorios LOTE 04'!D141</f>
        <v>1</v>
      </c>
      <c r="F56" s="86">
        <f>'Relatorios LOTE 04'!D71</f>
        <v>277.19169974999994</v>
      </c>
      <c r="G56" s="257"/>
      <c r="H56" s="257"/>
      <c r="I56" s="85">
        <f t="shared" si="4"/>
        <v>277.19169974999994</v>
      </c>
    </row>
    <row r="57" spans="1:12">
      <c r="A57" s="503" t="s">
        <v>81</v>
      </c>
      <c r="B57" s="504"/>
      <c r="C57" s="177" t="s">
        <v>82</v>
      </c>
      <c r="D57" s="178"/>
      <c r="E57" s="84">
        <f>'Relatorios LOTE 04'!D142</f>
        <v>1</v>
      </c>
      <c r="F57" s="86">
        <f>'Relatorios LOTE 04'!D91</f>
        <v>336.40063425</v>
      </c>
      <c r="G57" s="257"/>
      <c r="H57" s="257"/>
      <c r="I57" s="85">
        <f t="shared" si="4"/>
        <v>336.40063425</v>
      </c>
    </row>
    <row r="58" spans="1:12">
      <c r="A58" s="503" t="s">
        <v>83</v>
      </c>
      <c r="B58" s="504"/>
      <c r="C58" s="177" t="s">
        <v>84</v>
      </c>
      <c r="D58" s="178"/>
      <c r="E58" s="84">
        <f>'Relatorios LOTE 04'!D143</f>
        <v>1</v>
      </c>
      <c r="F58" s="86">
        <f>'Relatorios LOTE 04'!D111</f>
        <v>360.35173349999997</v>
      </c>
      <c r="G58" s="257"/>
      <c r="H58" s="257"/>
      <c r="I58" s="85">
        <f t="shared" si="4"/>
        <v>360.35173349999997</v>
      </c>
    </row>
    <row r="59" spans="1:12">
      <c r="A59" s="503" t="s">
        <v>85</v>
      </c>
      <c r="B59" s="504"/>
      <c r="C59" s="177" t="s">
        <v>86</v>
      </c>
      <c r="D59" s="178"/>
      <c r="E59" s="84">
        <f>'Relatorios LOTE 04'!D144</f>
        <v>12</v>
      </c>
      <c r="F59" s="86">
        <f>'Relatorios LOTE 04'!D132</f>
        <v>1584</v>
      </c>
      <c r="G59" s="257"/>
      <c r="H59" s="257"/>
      <c r="I59" s="85">
        <f t="shared" si="4"/>
        <v>19008</v>
      </c>
      <c r="L59" s="253"/>
    </row>
    <row r="60" spans="1:12">
      <c r="A60" s="503"/>
      <c r="B60" s="504"/>
      <c r="C60" s="177"/>
      <c r="D60" s="178"/>
      <c r="E60" s="84"/>
      <c r="F60" s="86"/>
      <c r="G60" s="257"/>
      <c r="H60" s="257"/>
      <c r="I60" s="85"/>
    </row>
    <row r="61" spans="1:12">
      <c r="A61" s="531"/>
      <c r="B61" s="532"/>
      <c r="C61" s="87"/>
      <c r="D61" s="83"/>
      <c r="E61" s="88"/>
      <c r="F61" s="89" t="s">
        <v>87</v>
      </c>
      <c r="G61" s="258"/>
      <c r="H61" s="258"/>
      <c r="I61" s="90">
        <f>SUM(I54:I59)</f>
        <v>21011.664667500001</v>
      </c>
    </row>
    <row r="62" spans="1:12">
      <c r="A62" s="531"/>
      <c r="B62" s="532"/>
      <c r="C62" s="87"/>
      <c r="D62" s="83"/>
      <c r="E62" s="88"/>
      <c r="F62" s="88"/>
      <c r="G62" s="259"/>
      <c r="H62" s="259"/>
      <c r="I62" s="91" t="s">
        <v>73</v>
      </c>
    </row>
    <row r="63" spans="1:12">
      <c r="A63" s="531"/>
      <c r="B63" s="532"/>
      <c r="C63" s="92" t="s">
        <v>88</v>
      </c>
      <c r="D63" s="83"/>
      <c r="E63" s="88"/>
      <c r="F63" s="88"/>
      <c r="G63" s="259"/>
      <c r="H63" s="259"/>
      <c r="I63" s="85"/>
    </row>
    <row r="64" spans="1:12">
      <c r="A64" s="531"/>
      <c r="B64" s="532"/>
      <c r="C64" s="92" t="s">
        <v>89</v>
      </c>
      <c r="D64" s="83"/>
      <c r="E64" s="88"/>
      <c r="F64" s="88" t="s">
        <v>90</v>
      </c>
      <c r="G64" s="259"/>
      <c r="H64" s="259"/>
      <c r="I64" s="85">
        <f>I48</f>
        <v>1666318.5613218001</v>
      </c>
    </row>
    <row r="65" spans="1:9">
      <c r="A65" s="531"/>
      <c r="B65" s="532"/>
      <c r="C65" s="92" t="s">
        <v>91</v>
      </c>
      <c r="D65" s="83"/>
      <c r="E65" s="88"/>
      <c r="F65" s="88" t="s">
        <v>73</v>
      </c>
      <c r="G65" s="259"/>
      <c r="H65" s="259"/>
      <c r="I65" s="85">
        <f>I61</f>
        <v>21011.664667500001</v>
      </c>
    </row>
    <row r="66" spans="1:9">
      <c r="A66" s="533"/>
      <c r="B66" s="534"/>
      <c r="C66" s="93" t="s">
        <v>92</v>
      </c>
      <c r="D66" s="94"/>
      <c r="E66" s="95"/>
      <c r="F66" s="95" t="s">
        <v>93</v>
      </c>
      <c r="G66" s="260"/>
      <c r="H66" s="260"/>
      <c r="I66" s="96">
        <f>ROUND(I64/I65,2)</f>
        <v>79.3</v>
      </c>
    </row>
    <row r="67" spans="1:9" ht="15" thickBot="1">
      <c r="A67" s="529"/>
      <c r="B67" s="530"/>
      <c r="C67" s="61"/>
      <c r="D67" s="62"/>
      <c r="E67" s="63"/>
      <c r="F67" s="63"/>
      <c r="G67" s="261"/>
      <c r="H67" s="261"/>
      <c r="I67" s="64"/>
    </row>
  </sheetData>
  <mergeCells count="24">
    <mergeCell ref="A67:B67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55:B55"/>
    <mergeCell ref="A1:I1"/>
    <mergeCell ref="A2:B2"/>
    <mergeCell ref="C2:E2"/>
    <mergeCell ref="F2:I3"/>
    <mergeCell ref="A3:B3"/>
    <mergeCell ref="C3:E3"/>
    <mergeCell ref="C47:F47"/>
    <mergeCell ref="C48:F48"/>
    <mergeCell ref="A51:I51"/>
    <mergeCell ref="A53:B53"/>
    <mergeCell ref="A54:B54"/>
  </mergeCells>
  <pageMargins left="0.511811024" right="0.511811024" top="0.78740157499999996" bottom="0.78740157499999996" header="0.31496062000000002" footer="0.31496062000000002"/>
  <pageSetup paperSize="9" scale="63" orientation="portrait" r:id="rId1"/>
  <rowBreaks count="1" manualBreakCount="1">
    <brk id="49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57F74-E1C3-4C4F-B71C-7E9BB9414948}">
  <sheetPr>
    <tabColor theme="5" tint="0.39997558519241921"/>
  </sheetPr>
  <dimension ref="A1:R147"/>
  <sheetViews>
    <sheetView showGridLines="0" zoomScale="85" zoomScaleNormal="85" zoomScaleSheetLayoutView="85" zoomScalePageLayoutView="85" workbookViewId="0">
      <pane ySplit="1" topLeftCell="A128" activePane="bottomLeft" state="frozen"/>
      <selection activeCell="E41" sqref="E41"/>
      <selection pane="bottomLeft" activeCell="A123" sqref="A123"/>
    </sheetView>
  </sheetViews>
  <sheetFormatPr defaultColWidth="8.6640625" defaultRowHeight="13.2"/>
  <cols>
    <col min="1" max="1" width="9" style="67" bestFit="1" customWidth="1"/>
    <col min="2" max="2" width="61.6640625" style="67" customWidth="1"/>
    <col min="3" max="3" width="12.6640625" style="67" customWidth="1"/>
    <col min="4" max="4" width="13.5546875" style="97" customWidth="1"/>
    <col min="5" max="5" width="16.21875" style="97" bestFit="1" customWidth="1"/>
    <col min="6" max="6" width="11.6640625" style="97" bestFit="1" customWidth="1"/>
    <col min="7" max="7" width="15.6640625" style="97" bestFit="1" customWidth="1"/>
    <col min="8" max="8" width="16.21875" style="97" bestFit="1" customWidth="1"/>
    <col min="9" max="9" width="13.109375" style="97" bestFit="1" customWidth="1"/>
    <col min="10" max="10" width="13.109375" style="97" customWidth="1"/>
    <col min="11" max="11" width="19.44140625" style="97" customWidth="1"/>
    <col min="12" max="12" width="21.109375" style="97" customWidth="1"/>
    <col min="13" max="13" width="17" style="97" customWidth="1"/>
    <col min="14" max="14" width="6.5546875" style="97" customWidth="1"/>
    <col min="15" max="15" width="14.6640625" style="97" customWidth="1"/>
    <col min="16" max="16" width="13.33203125" style="97" customWidth="1"/>
    <col min="17" max="17" width="18.5546875" style="97" customWidth="1"/>
    <col min="18" max="19" width="8.6640625" style="97" customWidth="1"/>
    <col min="20" max="225" width="8.6640625" style="97"/>
    <col min="226" max="226" width="12.6640625" style="97" customWidth="1"/>
    <col min="227" max="227" width="60.33203125" style="97" customWidth="1"/>
    <col min="228" max="229" width="12.6640625" style="97" customWidth="1"/>
    <col min="230" max="230" width="12.33203125" style="97" bestFit="1" customWidth="1"/>
    <col min="231" max="231" width="15.6640625" style="97" customWidth="1"/>
    <col min="232" max="232" width="17.6640625" style="97" bestFit="1" customWidth="1"/>
    <col min="233" max="233" width="8.6640625" style="97"/>
    <col min="234" max="234" width="18" style="97" bestFit="1" customWidth="1"/>
    <col min="235" max="236" width="8.6640625" style="97"/>
    <col min="237" max="237" width="21.6640625" style="97" customWidth="1"/>
    <col min="238" max="238" width="9.44140625" style="97" bestFit="1" customWidth="1"/>
    <col min="239" max="481" width="8.6640625" style="97"/>
    <col min="482" max="482" width="12.6640625" style="97" customWidth="1"/>
    <col min="483" max="483" width="60.33203125" style="97" customWidth="1"/>
    <col min="484" max="485" width="12.6640625" style="97" customWidth="1"/>
    <col min="486" max="486" width="12.33203125" style="97" bestFit="1" customWidth="1"/>
    <col min="487" max="487" width="15.6640625" style="97" customWidth="1"/>
    <col min="488" max="488" width="17.6640625" style="97" bestFit="1" customWidth="1"/>
    <col min="489" max="489" width="8.6640625" style="97"/>
    <col min="490" max="490" width="18" style="97" bestFit="1" customWidth="1"/>
    <col min="491" max="492" width="8.6640625" style="97"/>
    <col min="493" max="493" width="21.6640625" style="97" customWidth="1"/>
    <col min="494" max="494" width="9.44140625" style="97" bestFit="1" customWidth="1"/>
    <col min="495" max="737" width="8.6640625" style="97"/>
    <col min="738" max="738" width="12.6640625" style="97" customWidth="1"/>
    <col min="739" max="739" width="60.33203125" style="97" customWidth="1"/>
    <col min="740" max="741" width="12.6640625" style="97" customWidth="1"/>
    <col min="742" max="742" width="12.33203125" style="97" bestFit="1" customWidth="1"/>
    <col min="743" max="743" width="15.6640625" style="97" customWidth="1"/>
    <col min="744" max="744" width="17.6640625" style="97" bestFit="1" customWidth="1"/>
    <col min="745" max="745" width="8.6640625" style="97"/>
    <col min="746" max="746" width="18" style="97" bestFit="1" customWidth="1"/>
    <col min="747" max="748" width="8.6640625" style="97"/>
    <col min="749" max="749" width="21.6640625" style="97" customWidth="1"/>
    <col min="750" max="750" width="9.44140625" style="97" bestFit="1" customWidth="1"/>
    <col min="751" max="993" width="8.6640625" style="97"/>
    <col min="994" max="994" width="12.6640625" style="97" customWidth="1"/>
    <col min="995" max="995" width="60.33203125" style="97" customWidth="1"/>
    <col min="996" max="997" width="12.6640625" style="97" customWidth="1"/>
    <col min="998" max="998" width="12.33203125" style="97" bestFit="1" customWidth="1"/>
    <col min="999" max="999" width="15.6640625" style="97" customWidth="1"/>
    <col min="1000" max="1000" width="17.6640625" style="97" bestFit="1" customWidth="1"/>
    <col min="1001" max="1001" width="8.6640625" style="97"/>
    <col min="1002" max="1002" width="18" style="97" bestFit="1" customWidth="1"/>
    <col min="1003" max="1004" width="8.6640625" style="97"/>
    <col min="1005" max="1005" width="21.6640625" style="97" customWidth="1"/>
    <col min="1006" max="1006" width="9.44140625" style="97" bestFit="1" customWidth="1"/>
    <col min="1007" max="1249" width="8.6640625" style="97"/>
    <col min="1250" max="1250" width="12.6640625" style="97" customWidth="1"/>
    <col min="1251" max="1251" width="60.33203125" style="97" customWidth="1"/>
    <col min="1252" max="1253" width="12.6640625" style="97" customWidth="1"/>
    <col min="1254" max="1254" width="12.33203125" style="97" bestFit="1" customWidth="1"/>
    <col min="1255" max="1255" width="15.6640625" style="97" customWidth="1"/>
    <col min="1256" max="1256" width="17.6640625" style="97" bestFit="1" customWidth="1"/>
    <col min="1257" max="1257" width="8.6640625" style="97"/>
    <col min="1258" max="1258" width="18" style="97" bestFit="1" customWidth="1"/>
    <col min="1259" max="1260" width="8.6640625" style="97"/>
    <col min="1261" max="1261" width="21.6640625" style="97" customWidth="1"/>
    <col min="1262" max="1262" width="9.44140625" style="97" bestFit="1" customWidth="1"/>
    <col min="1263" max="1505" width="8.6640625" style="97"/>
    <col min="1506" max="1506" width="12.6640625" style="97" customWidth="1"/>
    <col min="1507" max="1507" width="60.33203125" style="97" customWidth="1"/>
    <col min="1508" max="1509" width="12.6640625" style="97" customWidth="1"/>
    <col min="1510" max="1510" width="12.33203125" style="97" bestFit="1" customWidth="1"/>
    <col min="1511" max="1511" width="15.6640625" style="97" customWidth="1"/>
    <col min="1512" max="1512" width="17.6640625" style="97" bestFit="1" customWidth="1"/>
    <col min="1513" max="1513" width="8.6640625" style="97"/>
    <col min="1514" max="1514" width="18" style="97" bestFit="1" customWidth="1"/>
    <col min="1515" max="1516" width="8.6640625" style="97"/>
    <col min="1517" max="1517" width="21.6640625" style="97" customWidth="1"/>
    <col min="1518" max="1518" width="9.44140625" style="97" bestFit="1" customWidth="1"/>
    <col min="1519" max="1761" width="8.6640625" style="97"/>
    <col min="1762" max="1762" width="12.6640625" style="97" customWidth="1"/>
    <col min="1763" max="1763" width="60.33203125" style="97" customWidth="1"/>
    <col min="1764" max="1765" width="12.6640625" style="97" customWidth="1"/>
    <col min="1766" max="1766" width="12.33203125" style="97" bestFit="1" customWidth="1"/>
    <col min="1767" max="1767" width="15.6640625" style="97" customWidth="1"/>
    <col min="1768" max="1768" width="17.6640625" style="97" bestFit="1" customWidth="1"/>
    <col min="1769" max="1769" width="8.6640625" style="97"/>
    <col min="1770" max="1770" width="18" style="97" bestFit="1" customWidth="1"/>
    <col min="1771" max="1772" width="8.6640625" style="97"/>
    <col min="1773" max="1773" width="21.6640625" style="97" customWidth="1"/>
    <col min="1774" max="1774" width="9.44140625" style="97" bestFit="1" customWidth="1"/>
    <col min="1775" max="2017" width="8.6640625" style="97"/>
    <col min="2018" max="2018" width="12.6640625" style="97" customWidth="1"/>
    <col min="2019" max="2019" width="60.33203125" style="97" customWidth="1"/>
    <col min="2020" max="2021" width="12.6640625" style="97" customWidth="1"/>
    <col min="2022" max="2022" width="12.33203125" style="97" bestFit="1" customWidth="1"/>
    <col min="2023" max="2023" width="15.6640625" style="97" customWidth="1"/>
    <col min="2024" max="2024" width="17.6640625" style="97" bestFit="1" customWidth="1"/>
    <col min="2025" max="2025" width="8.6640625" style="97"/>
    <col min="2026" max="2026" width="18" style="97" bestFit="1" customWidth="1"/>
    <col min="2027" max="2028" width="8.6640625" style="97"/>
    <col min="2029" max="2029" width="21.6640625" style="97" customWidth="1"/>
    <col min="2030" max="2030" width="9.44140625" style="97" bestFit="1" customWidth="1"/>
    <col min="2031" max="2273" width="8.6640625" style="97"/>
    <col min="2274" max="2274" width="12.6640625" style="97" customWidth="1"/>
    <col min="2275" max="2275" width="60.33203125" style="97" customWidth="1"/>
    <col min="2276" max="2277" width="12.6640625" style="97" customWidth="1"/>
    <col min="2278" max="2278" width="12.33203125" style="97" bestFit="1" customWidth="1"/>
    <col min="2279" max="2279" width="15.6640625" style="97" customWidth="1"/>
    <col min="2280" max="2280" width="17.6640625" style="97" bestFit="1" customWidth="1"/>
    <col min="2281" max="2281" width="8.6640625" style="97"/>
    <col min="2282" max="2282" width="18" style="97" bestFit="1" customWidth="1"/>
    <col min="2283" max="2284" width="8.6640625" style="97"/>
    <col min="2285" max="2285" width="21.6640625" style="97" customWidth="1"/>
    <col min="2286" max="2286" width="9.44140625" style="97" bestFit="1" customWidth="1"/>
    <col min="2287" max="2529" width="8.6640625" style="97"/>
    <col min="2530" max="2530" width="12.6640625" style="97" customWidth="1"/>
    <col min="2531" max="2531" width="60.33203125" style="97" customWidth="1"/>
    <col min="2532" max="2533" width="12.6640625" style="97" customWidth="1"/>
    <col min="2534" max="2534" width="12.33203125" style="97" bestFit="1" customWidth="1"/>
    <col min="2535" max="2535" width="15.6640625" style="97" customWidth="1"/>
    <col min="2536" max="2536" width="17.6640625" style="97" bestFit="1" customWidth="1"/>
    <col min="2537" max="2537" width="8.6640625" style="97"/>
    <col min="2538" max="2538" width="18" style="97" bestFit="1" customWidth="1"/>
    <col min="2539" max="2540" width="8.6640625" style="97"/>
    <col min="2541" max="2541" width="21.6640625" style="97" customWidth="1"/>
    <col min="2542" max="2542" width="9.44140625" style="97" bestFit="1" customWidth="1"/>
    <col min="2543" max="2785" width="8.6640625" style="97"/>
    <col min="2786" max="2786" width="12.6640625" style="97" customWidth="1"/>
    <col min="2787" max="2787" width="60.33203125" style="97" customWidth="1"/>
    <col min="2788" max="2789" width="12.6640625" style="97" customWidth="1"/>
    <col min="2790" max="2790" width="12.33203125" style="97" bestFit="1" customWidth="1"/>
    <col min="2791" max="2791" width="15.6640625" style="97" customWidth="1"/>
    <col min="2792" max="2792" width="17.6640625" style="97" bestFit="1" customWidth="1"/>
    <col min="2793" max="2793" width="8.6640625" style="97"/>
    <col min="2794" max="2794" width="18" style="97" bestFit="1" customWidth="1"/>
    <col min="2795" max="2796" width="8.6640625" style="97"/>
    <col min="2797" max="2797" width="21.6640625" style="97" customWidth="1"/>
    <col min="2798" max="2798" width="9.44140625" style="97" bestFit="1" customWidth="1"/>
    <col min="2799" max="3041" width="8.6640625" style="97"/>
    <col min="3042" max="3042" width="12.6640625" style="97" customWidth="1"/>
    <col min="3043" max="3043" width="60.33203125" style="97" customWidth="1"/>
    <col min="3044" max="3045" width="12.6640625" style="97" customWidth="1"/>
    <col min="3046" max="3046" width="12.33203125" style="97" bestFit="1" customWidth="1"/>
    <col min="3047" max="3047" width="15.6640625" style="97" customWidth="1"/>
    <col min="3048" max="3048" width="17.6640625" style="97" bestFit="1" customWidth="1"/>
    <col min="3049" max="3049" width="8.6640625" style="97"/>
    <col min="3050" max="3050" width="18" style="97" bestFit="1" customWidth="1"/>
    <col min="3051" max="3052" width="8.6640625" style="97"/>
    <col min="3053" max="3053" width="21.6640625" style="97" customWidth="1"/>
    <col min="3054" max="3054" width="9.44140625" style="97" bestFit="1" customWidth="1"/>
    <col min="3055" max="3297" width="8.6640625" style="97"/>
    <col min="3298" max="3298" width="12.6640625" style="97" customWidth="1"/>
    <col min="3299" max="3299" width="60.33203125" style="97" customWidth="1"/>
    <col min="3300" max="3301" width="12.6640625" style="97" customWidth="1"/>
    <col min="3302" max="3302" width="12.33203125" style="97" bestFit="1" customWidth="1"/>
    <col min="3303" max="3303" width="15.6640625" style="97" customWidth="1"/>
    <col min="3304" max="3304" width="17.6640625" style="97" bestFit="1" customWidth="1"/>
    <col min="3305" max="3305" width="8.6640625" style="97"/>
    <col min="3306" max="3306" width="18" style="97" bestFit="1" customWidth="1"/>
    <col min="3307" max="3308" width="8.6640625" style="97"/>
    <col min="3309" max="3309" width="21.6640625" style="97" customWidth="1"/>
    <col min="3310" max="3310" width="9.44140625" style="97" bestFit="1" customWidth="1"/>
    <col min="3311" max="3553" width="8.6640625" style="97"/>
    <col min="3554" max="3554" width="12.6640625" style="97" customWidth="1"/>
    <col min="3555" max="3555" width="60.33203125" style="97" customWidth="1"/>
    <col min="3556" max="3557" width="12.6640625" style="97" customWidth="1"/>
    <col min="3558" max="3558" width="12.33203125" style="97" bestFit="1" customWidth="1"/>
    <col min="3559" max="3559" width="15.6640625" style="97" customWidth="1"/>
    <col min="3560" max="3560" width="17.6640625" style="97" bestFit="1" customWidth="1"/>
    <col min="3561" max="3561" width="8.6640625" style="97"/>
    <col min="3562" max="3562" width="18" style="97" bestFit="1" customWidth="1"/>
    <col min="3563" max="3564" width="8.6640625" style="97"/>
    <col min="3565" max="3565" width="21.6640625" style="97" customWidth="1"/>
    <col min="3566" max="3566" width="9.44140625" style="97" bestFit="1" customWidth="1"/>
    <col min="3567" max="3809" width="8.6640625" style="97"/>
    <col min="3810" max="3810" width="12.6640625" style="97" customWidth="1"/>
    <col min="3811" max="3811" width="60.33203125" style="97" customWidth="1"/>
    <col min="3812" max="3813" width="12.6640625" style="97" customWidth="1"/>
    <col min="3814" max="3814" width="12.33203125" style="97" bestFit="1" customWidth="1"/>
    <col min="3815" max="3815" width="15.6640625" style="97" customWidth="1"/>
    <col min="3816" max="3816" width="17.6640625" style="97" bestFit="1" customWidth="1"/>
    <col min="3817" max="3817" width="8.6640625" style="97"/>
    <col min="3818" max="3818" width="18" style="97" bestFit="1" customWidth="1"/>
    <col min="3819" max="3820" width="8.6640625" style="97"/>
    <col min="3821" max="3821" width="21.6640625" style="97" customWidth="1"/>
    <col min="3822" max="3822" width="9.44140625" style="97" bestFit="1" customWidth="1"/>
    <col min="3823" max="4065" width="8.6640625" style="97"/>
    <col min="4066" max="4066" width="12.6640625" style="97" customWidth="1"/>
    <col min="4067" max="4067" width="60.33203125" style="97" customWidth="1"/>
    <col min="4068" max="4069" width="12.6640625" style="97" customWidth="1"/>
    <col min="4070" max="4070" width="12.33203125" style="97" bestFit="1" customWidth="1"/>
    <col min="4071" max="4071" width="15.6640625" style="97" customWidth="1"/>
    <col min="4072" max="4072" width="17.6640625" style="97" bestFit="1" customWidth="1"/>
    <col min="4073" max="4073" width="8.6640625" style="97"/>
    <col min="4074" max="4074" width="18" style="97" bestFit="1" customWidth="1"/>
    <col min="4075" max="4076" width="8.6640625" style="97"/>
    <col min="4077" max="4077" width="21.6640625" style="97" customWidth="1"/>
    <col min="4078" max="4078" width="9.44140625" style="97" bestFit="1" customWidth="1"/>
    <col min="4079" max="4321" width="8.6640625" style="97"/>
    <col min="4322" max="4322" width="12.6640625" style="97" customWidth="1"/>
    <col min="4323" max="4323" width="60.33203125" style="97" customWidth="1"/>
    <col min="4324" max="4325" width="12.6640625" style="97" customWidth="1"/>
    <col min="4326" max="4326" width="12.33203125" style="97" bestFit="1" customWidth="1"/>
    <col min="4327" max="4327" width="15.6640625" style="97" customWidth="1"/>
    <col min="4328" max="4328" width="17.6640625" style="97" bestFit="1" customWidth="1"/>
    <col min="4329" max="4329" width="8.6640625" style="97"/>
    <col min="4330" max="4330" width="18" style="97" bestFit="1" customWidth="1"/>
    <col min="4331" max="4332" width="8.6640625" style="97"/>
    <col min="4333" max="4333" width="21.6640625" style="97" customWidth="1"/>
    <col min="4334" max="4334" width="9.44140625" style="97" bestFit="1" customWidth="1"/>
    <col min="4335" max="4577" width="8.6640625" style="97"/>
    <col min="4578" max="4578" width="12.6640625" style="97" customWidth="1"/>
    <col min="4579" max="4579" width="60.33203125" style="97" customWidth="1"/>
    <col min="4580" max="4581" width="12.6640625" style="97" customWidth="1"/>
    <col min="4582" max="4582" width="12.33203125" style="97" bestFit="1" customWidth="1"/>
    <col min="4583" max="4583" width="15.6640625" style="97" customWidth="1"/>
    <col min="4584" max="4584" width="17.6640625" style="97" bestFit="1" customWidth="1"/>
    <col min="4585" max="4585" width="8.6640625" style="97"/>
    <col min="4586" max="4586" width="18" style="97" bestFit="1" customWidth="1"/>
    <col min="4587" max="4588" width="8.6640625" style="97"/>
    <col min="4589" max="4589" width="21.6640625" style="97" customWidth="1"/>
    <col min="4590" max="4590" width="9.44140625" style="97" bestFit="1" customWidth="1"/>
    <col min="4591" max="4833" width="8.6640625" style="97"/>
    <col min="4834" max="4834" width="12.6640625" style="97" customWidth="1"/>
    <col min="4835" max="4835" width="60.33203125" style="97" customWidth="1"/>
    <col min="4836" max="4837" width="12.6640625" style="97" customWidth="1"/>
    <col min="4838" max="4838" width="12.33203125" style="97" bestFit="1" customWidth="1"/>
    <col min="4839" max="4839" width="15.6640625" style="97" customWidth="1"/>
    <col min="4840" max="4840" width="17.6640625" style="97" bestFit="1" customWidth="1"/>
    <col min="4841" max="4841" width="8.6640625" style="97"/>
    <col min="4842" max="4842" width="18" style="97" bestFit="1" customWidth="1"/>
    <col min="4843" max="4844" width="8.6640625" style="97"/>
    <col min="4845" max="4845" width="21.6640625" style="97" customWidth="1"/>
    <col min="4846" max="4846" width="9.44140625" style="97" bestFit="1" customWidth="1"/>
    <col min="4847" max="5089" width="8.6640625" style="97"/>
    <col min="5090" max="5090" width="12.6640625" style="97" customWidth="1"/>
    <col min="5091" max="5091" width="60.33203125" style="97" customWidth="1"/>
    <col min="5092" max="5093" width="12.6640625" style="97" customWidth="1"/>
    <col min="5094" max="5094" width="12.33203125" style="97" bestFit="1" customWidth="1"/>
    <col min="5095" max="5095" width="15.6640625" style="97" customWidth="1"/>
    <col min="5096" max="5096" width="17.6640625" style="97" bestFit="1" customWidth="1"/>
    <col min="5097" max="5097" width="8.6640625" style="97"/>
    <col min="5098" max="5098" width="18" style="97" bestFit="1" customWidth="1"/>
    <col min="5099" max="5100" width="8.6640625" style="97"/>
    <col min="5101" max="5101" width="21.6640625" style="97" customWidth="1"/>
    <col min="5102" max="5102" width="9.44140625" style="97" bestFit="1" customWidth="1"/>
    <col min="5103" max="5345" width="8.6640625" style="97"/>
    <col min="5346" max="5346" width="12.6640625" style="97" customWidth="1"/>
    <col min="5347" max="5347" width="60.33203125" style="97" customWidth="1"/>
    <col min="5348" max="5349" width="12.6640625" style="97" customWidth="1"/>
    <col min="5350" max="5350" width="12.33203125" style="97" bestFit="1" customWidth="1"/>
    <col min="5351" max="5351" width="15.6640625" style="97" customWidth="1"/>
    <col min="5352" max="5352" width="17.6640625" style="97" bestFit="1" customWidth="1"/>
    <col min="5353" max="5353" width="8.6640625" style="97"/>
    <col min="5354" max="5354" width="18" style="97" bestFit="1" customWidth="1"/>
    <col min="5355" max="5356" width="8.6640625" style="97"/>
    <col min="5357" max="5357" width="21.6640625" style="97" customWidth="1"/>
    <col min="5358" max="5358" width="9.44140625" style="97" bestFit="1" customWidth="1"/>
    <col min="5359" max="5601" width="8.6640625" style="97"/>
    <col min="5602" max="5602" width="12.6640625" style="97" customWidth="1"/>
    <col min="5603" max="5603" width="60.33203125" style="97" customWidth="1"/>
    <col min="5604" max="5605" width="12.6640625" style="97" customWidth="1"/>
    <col min="5606" max="5606" width="12.33203125" style="97" bestFit="1" customWidth="1"/>
    <col min="5607" max="5607" width="15.6640625" style="97" customWidth="1"/>
    <col min="5608" max="5608" width="17.6640625" style="97" bestFit="1" customWidth="1"/>
    <col min="5609" max="5609" width="8.6640625" style="97"/>
    <col min="5610" max="5610" width="18" style="97" bestFit="1" customWidth="1"/>
    <col min="5611" max="5612" width="8.6640625" style="97"/>
    <col min="5613" max="5613" width="21.6640625" style="97" customWidth="1"/>
    <col min="5614" max="5614" width="9.44140625" style="97" bestFit="1" customWidth="1"/>
    <col min="5615" max="5857" width="8.6640625" style="97"/>
    <col min="5858" max="5858" width="12.6640625" style="97" customWidth="1"/>
    <col min="5859" max="5859" width="60.33203125" style="97" customWidth="1"/>
    <col min="5860" max="5861" width="12.6640625" style="97" customWidth="1"/>
    <col min="5862" max="5862" width="12.33203125" style="97" bestFit="1" customWidth="1"/>
    <col min="5863" max="5863" width="15.6640625" style="97" customWidth="1"/>
    <col min="5864" max="5864" width="17.6640625" style="97" bestFit="1" customWidth="1"/>
    <col min="5865" max="5865" width="8.6640625" style="97"/>
    <col min="5866" max="5866" width="18" style="97" bestFit="1" customWidth="1"/>
    <col min="5867" max="5868" width="8.6640625" style="97"/>
    <col min="5869" max="5869" width="21.6640625" style="97" customWidth="1"/>
    <col min="5870" max="5870" width="9.44140625" style="97" bestFit="1" customWidth="1"/>
    <col min="5871" max="6113" width="8.6640625" style="97"/>
    <col min="6114" max="6114" width="12.6640625" style="97" customWidth="1"/>
    <col min="6115" max="6115" width="60.33203125" style="97" customWidth="1"/>
    <col min="6116" max="6117" width="12.6640625" style="97" customWidth="1"/>
    <col min="6118" max="6118" width="12.33203125" style="97" bestFit="1" customWidth="1"/>
    <col min="6119" max="6119" width="15.6640625" style="97" customWidth="1"/>
    <col min="6120" max="6120" width="17.6640625" style="97" bestFit="1" customWidth="1"/>
    <col min="6121" max="6121" width="8.6640625" style="97"/>
    <col min="6122" max="6122" width="18" style="97" bestFit="1" customWidth="1"/>
    <col min="6123" max="6124" width="8.6640625" style="97"/>
    <col min="6125" max="6125" width="21.6640625" style="97" customWidth="1"/>
    <col min="6126" max="6126" width="9.44140625" style="97" bestFit="1" customWidth="1"/>
    <col min="6127" max="6369" width="8.6640625" style="97"/>
    <col min="6370" max="6370" width="12.6640625" style="97" customWidth="1"/>
    <col min="6371" max="6371" width="60.33203125" style="97" customWidth="1"/>
    <col min="6372" max="6373" width="12.6640625" style="97" customWidth="1"/>
    <col min="6374" max="6374" width="12.33203125" style="97" bestFit="1" customWidth="1"/>
    <col min="6375" max="6375" width="15.6640625" style="97" customWidth="1"/>
    <col min="6376" max="6376" width="17.6640625" style="97" bestFit="1" customWidth="1"/>
    <col min="6377" max="6377" width="8.6640625" style="97"/>
    <col min="6378" max="6378" width="18" style="97" bestFit="1" customWidth="1"/>
    <col min="6379" max="6380" width="8.6640625" style="97"/>
    <col min="6381" max="6381" width="21.6640625" style="97" customWidth="1"/>
    <col min="6382" max="6382" width="9.44140625" style="97" bestFit="1" customWidth="1"/>
    <col min="6383" max="6625" width="8.6640625" style="97"/>
    <col min="6626" max="6626" width="12.6640625" style="97" customWidth="1"/>
    <col min="6627" max="6627" width="60.33203125" style="97" customWidth="1"/>
    <col min="6628" max="6629" width="12.6640625" style="97" customWidth="1"/>
    <col min="6630" max="6630" width="12.33203125" style="97" bestFit="1" customWidth="1"/>
    <col min="6631" max="6631" width="15.6640625" style="97" customWidth="1"/>
    <col min="6632" max="6632" width="17.6640625" style="97" bestFit="1" customWidth="1"/>
    <col min="6633" max="6633" width="8.6640625" style="97"/>
    <col min="6634" max="6634" width="18" style="97" bestFit="1" customWidth="1"/>
    <col min="6635" max="6636" width="8.6640625" style="97"/>
    <col min="6637" max="6637" width="21.6640625" style="97" customWidth="1"/>
    <col min="6638" max="6638" width="9.44140625" style="97" bestFit="1" customWidth="1"/>
    <col min="6639" max="6881" width="8.6640625" style="97"/>
    <col min="6882" max="6882" width="12.6640625" style="97" customWidth="1"/>
    <col min="6883" max="6883" width="60.33203125" style="97" customWidth="1"/>
    <col min="6884" max="6885" width="12.6640625" style="97" customWidth="1"/>
    <col min="6886" max="6886" width="12.33203125" style="97" bestFit="1" customWidth="1"/>
    <col min="6887" max="6887" width="15.6640625" style="97" customWidth="1"/>
    <col min="6888" max="6888" width="17.6640625" style="97" bestFit="1" customWidth="1"/>
    <col min="6889" max="6889" width="8.6640625" style="97"/>
    <col min="6890" max="6890" width="18" style="97" bestFit="1" customWidth="1"/>
    <col min="6891" max="6892" width="8.6640625" style="97"/>
    <col min="6893" max="6893" width="21.6640625" style="97" customWidth="1"/>
    <col min="6894" max="6894" width="9.44140625" style="97" bestFit="1" customWidth="1"/>
    <col min="6895" max="7137" width="8.6640625" style="97"/>
    <col min="7138" max="7138" width="12.6640625" style="97" customWidth="1"/>
    <col min="7139" max="7139" width="60.33203125" style="97" customWidth="1"/>
    <col min="7140" max="7141" width="12.6640625" style="97" customWidth="1"/>
    <col min="7142" max="7142" width="12.33203125" style="97" bestFit="1" customWidth="1"/>
    <col min="7143" max="7143" width="15.6640625" style="97" customWidth="1"/>
    <col min="7144" max="7144" width="17.6640625" style="97" bestFit="1" customWidth="1"/>
    <col min="7145" max="7145" width="8.6640625" style="97"/>
    <col min="7146" max="7146" width="18" style="97" bestFit="1" customWidth="1"/>
    <col min="7147" max="7148" width="8.6640625" style="97"/>
    <col min="7149" max="7149" width="21.6640625" style="97" customWidth="1"/>
    <col min="7150" max="7150" width="9.44140625" style="97" bestFit="1" customWidth="1"/>
    <col min="7151" max="7393" width="8.6640625" style="97"/>
    <col min="7394" max="7394" width="12.6640625" style="97" customWidth="1"/>
    <col min="7395" max="7395" width="60.33203125" style="97" customWidth="1"/>
    <col min="7396" max="7397" width="12.6640625" style="97" customWidth="1"/>
    <col min="7398" max="7398" width="12.33203125" style="97" bestFit="1" customWidth="1"/>
    <col min="7399" max="7399" width="15.6640625" style="97" customWidth="1"/>
    <col min="7400" max="7400" width="17.6640625" style="97" bestFit="1" customWidth="1"/>
    <col min="7401" max="7401" width="8.6640625" style="97"/>
    <col min="7402" max="7402" width="18" style="97" bestFit="1" customWidth="1"/>
    <col min="7403" max="7404" width="8.6640625" style="97"/>
    <col min="7405" max="7405" width="21.6640625" style="97" customWidth="1"/>
    <col min="7406" max="7406" width="9.44140625" style="97" bestFit="1" customWidth="1"/>
    <col min="7407" max="7649" width="8.6640625" style="97"/>
    <col min="7650" max="7650" width="12.6640625" style="97" customWidth="1"/>
    <col min="7651" max="7651" width="60.33203125" style="97" customWidth="1"/>
    <col min="7652" max="7653" width="12.6640625" style="97" customWidth="1"/>
    <col min="7654" max="7654" width="12.33203125" style="97" bestFit="1" customWidth="1"/>
    <col min="7655" max="7655" width="15.6640625" style="97" customWidth="1"/>
    <col min="7656" max="7656" width="17.6640625" style="97" bestFit="1" customWidth="1"/>
    <col min="7657" max="7657" width="8.6640625" style="97"/>
    <col min="7658" max="7658" width="18" style="97" bestFit="1" customWidth="1"/>
    <col min="7659" max="7660" width="8.6640625" style="97"/>
    <col min="7661" max="7661" width="21.6640625" style="97" customWidth="1"/>
    <col min="7662" max="7662" width="9.44140625" style="97" bestFit="1" customWidth="1"/>
    <col min="7663" max="7905" width="8.6640625" style="97"/>
    <col min="7906" max="7906" width="12.6640625" style="97" customWidth="1"/>
    <col min="7907" max="7907" width="60.33203125" style="97" customWidth="1"/>
    <col min="7908" max="7909" width="12.6640625" style="97" customWidth="1"/>
    <col min="7910" max="7910" width="12.33203125" style="97" bestFit="1" customWidth="1"/>
    <col min="7911" max="7911" width="15.6640625" style="97" customWidth="1"/>
    <col min="7912" max="7912" width="17.6640625" style="97" bestFit="1" customWidth="1"/>
    <col min="7913" max="7913" width="8.6640625" style="97"/>
    <col min="7914" max="7914" width="18" style="97" bestFit="1" customWidth="1"/>
    <col min="7915" max="7916" width="8.6640625" style="97"/>
    <col min="7917" max="7917" width="21.6640625" style="97" customWidth="1"/>
    <col min="7918" max="7918" width="9.44140625" style="97" bestFit="1" customWidth="1"/>
    <col min="7919" max="8161" width="8.6640625" style="97"/>
    <col min="8162" max="8162" width="12.6640625" style="97" customWidth="1"/>
    <col min="8163" max="8163" width="60.33203125" style="97" customWidth="1"/>
    <col min="8164" max="8165" width="12.6640625" style="97" customWidth="1"/>
    <col min="8166" max="8166" width="12.33203125" style="97" bestFit="1" customWidth="1"/>
    <col min="8167" max="8167" width="15.6640625" style="97" customWidth="1"/>
    <col min="8168" max="8168" width="17.6640625" style="97" bestFit="1" customWidth="1"/>
    <col min="8169" max="8169" width="8.6640625" style="97"/>
    <col min="8170" max="8170" width="18" style="97" bestFit="1" customWidth="1"/>
    <col min="8171" max="8172" width="8.6640625" style="97"/>
    <col min="8173" max="8173" width="21.6640625" style="97" customWidth="1"/>
    <col min="8174" max="8174" width="9.44140625" style="97" bestFit="1" customWidth="1"/>
    <col min="8175" max="8417" width="8.6640625" style="97"/>
    <col min="8418" max="8418" width="12.6640625" style="97" customWidth="1"/>
    <col min="8419" max="8419" width="60.33203125" style="97" customWidth="1"/>
    <col min="8420" max="8421" width="12.6640625" style="97" customWidth="1"/>
    <col min="8422" max="8422" width="12.33203125" style="97" bestFit="1" customWidth="1"/>
    <col min="8423" max="8423" width="15.6640625" style="97" customWidth="1"/>
    <col min="8424" max="8424" width="17.6640625" style="97" bestFit="1" customWidth="1"/>
    <col min="8425" max="8425" width="8.6640625" style="97"/>
    <col min="8426" max="8426" width="18" style="97" bestFit="1" customWidth="1"/>
    <col min="8427" max="8428" width="8.6640625" style="97"/>
    <col min="8429" max="8429" width="21.6640625" style="97" customWidth="1"/>
    <col min="8430" max="8430" width="9.44140625" style="97" bestFit="1" customWidth="1"/>
    <col min="8431" max="8673" width="8.6640625" style="97"/>
    <col min="8674" max="8674" width="12.6640625" style="97" customWidth="1"/>
    <col min="8675" max="8675" width="60.33203125" style="97" customWidth="1"/>
    <col min="8676" max="8677" width="12.6640625" style="97" customWidth="1"/>
    <col min="8678" max="8678" width="12.33203125" style="97" bestFit="1" customWidth="1"/>
    <col min="8679" max="8679" width="15.6640625" style="97" customWidth="1"/>
    <col min="8680" max="8680" width="17.6640625" style="97" bestFit="1" customWidth="1"/>
    <col min="8681" max="8681" width="8.6640625" style="97"/>
    <col min="8682" max="8682" width="18" style="97" bestFit="1" customWidth="1"/>
    <col min="8683" max="8684" width="8.6640625" style="97"/>
    <col min="8685" max="8685" width="21.6640625" style="97" customWidth="1"/>
    <col min="8686" max="8686" width="9.44140625" style="97" bestFit="1" customWidth="1"/>
    <col min="8687" max="8929" width="8.6640625" style="97"/>
    <col min="8930" max="8930" width="12.6640625" style="97" customWidth="1"/>
    <col min="8931" max="8931" width="60.33203125" style="97" customWidth="1"/>
    <col min="8932" max="8933" width="12.6640625" style="97" customWidth="1"/>
    <col min="8934" max="8934" width="12.33203125" style="97" bestFit="1" customWidth="1"/>
    <col min="8935" max="8935" width="15.6640625" style="97" customWidth="1"/>
    <col min="8936" max="8936" width="17.6640625" style="97" bestFit="1" customWidth="1"/>
    <col min="8937" max="8937" width="8.6640625" style="97"/>
    <col min="8938" max="8938" width="18" style="97" bestFit="1" customWidth="1"/>
    <col min="8939" max="8940" width="8.6640625" style="97"/>
    <col min="8941" max="8941" width="21.6640625" style="97" customWidth="1"/>
    <col min="8942" max="8942" width="9.44140625" style="97" bestFit="1" customWidth="1"/>
    <col min="8943" max="9185" width="8.6640625" style="97"/>
    <col min="9186" max="9186" width="12.6640625" style="97" customWidth="1"/>
    <col min="9187" max="9187" width="60.33203125" style="97" customWidth="1"/>
    <col min="9188" max="9189" width="12.6640625" style="97" customWidth="1"/>
    <col min="9190" max="9190" width="12.33203125" style="97" bestFit="1" customWidth="1"/>
    <col min="9191" max="9191" width="15.6640625" style="97" customWidth="1"/>
    <col min="9192" max="9192" width="17.6640625" style="97" bestFit="1" customWidth="1"/>
    <col min="9193" max="9193" width="8.6640625" style="97"/>
    <col min="9194" max="9194" width="18" style="97" bestFit="1" customWidth="1"/>
    <col min="9195" max="9196" width="8.6640625" style="97"/>
    <col min="9197" max="9197" width="21.6640625" style="97" customWidth="1"/>
    <col min="9198" max="9198" width="9.44140625" style="97" bestFit="1" customWidth="1"/>
    <col min="9199" max="9441" width="8.6640625" style="97"/>
    <col min="9442" max="9442" width="12.6640625" style="97" customWidth="1"/>
    <col min="9443" max="9443" width="60.33203125" style="97" customWidth="1"/>
    <col min="9444" max="9445" width="12.6640625" style="97" customWidth="1"/>
    <col min="9446" max="9446" width="12.33203125" style="97" bestFit="1" customWidth="1"/>
    <col min="9447" max="9447" width="15.6640625" style="97" customWidth="1"/>
    <col min="9448" max="9448" width="17.6640625" style="97" bestFit="1" customWidth="1"/>
    <col min="9449" max="9449" width="8.6640625" style="97"/>
    <col min="9450" max="9450" width="18" style="97" bestFit="1" customWidth="1"/>
    <col min="9451" max="9452" width="8.6640625" style="97"/>
    <col min="9453" max="9453" width="21.6640625" style="97" customWidth="1"/>
    <col min="9454" max="9454" width="9.44140625" style="97" bestFit="1" customWidth="1"/>
    <col min="9455" max="9697" width="8.6640625" style="97"/>
    <col min="9698" max="9698" width="12.6640625" style="97" customWidth="1"/>
    <col min="9699" max="9699" width="60.33203125" style="97" customWidth="1"/>
    <col min="9700" max="9701" width="12.6640625" style="97" customWidth="1"/>
    <col min="9702" max="9702" width="12.33203125" style="97" bestFit="1" customWidth="1"/>
    <col min="9703" max="9703" width="15.6640625" style="97" customWidth="1"/>
    <col min="9704" max="9704" width="17.6640625" style="97" bestFit="1" customWidth="1"/>
    <col min="9705" max="9705" width="8.6640625" style="97"/>
    <col min="9706" max="9706" width="18" style="97" bestFit="1" customWidth="1"/>
    <col min="9707" max="9708" width="8.6640625" style="97"/>
    <col min="9709" max="9709" width="21.6640625" style="97" customWidth="1"/>
    <col min="9710" max="9710" width="9.44140625" style="97" bestFit="1" customWidth="1"/>
    <col min="9711" max="9953" width="8.6640625" style="97"/>
    <col min="9954" max="9954" width="12.6640625" style="97" customWidth="1"/>
    <col min="9955" max="9955" width="60.33203125" style="97" customWidth="1"/>
    <col min="9956" max="9957" width="12.6640625" style="97" customWidth="1"/>
    <col min="9958" max="9958" width="12.33203125" style="97" bestFit="1" customWidth="1"/>
    <col min="9959" max="9959" width="15.6640625" style="97" customWidth="1"/>
    <col min="9960" max="9960" width="17.6640625" style="97" bestFit="1" customWidth="1"/>
    <col min="9961" max="9961" width="8.6640625" style="97"/>
    <col min="9962" max="9962" width="18" style="97" bestFit="1" customWidth="1"/>
    <col min="9963" max="9964" width="8.6640625" style="97"/>
    <col min="9965" max="9965" width="21.6640625" style="97" customWidth="1"/>
    <col min="9966" max="9966" width="9.44140625" style="97" bestFit="1" customWidth="1"/>
    <col min="9967" max="10209" width="8.6640625" style="97"/>
    <col min="10210" max="10210" width="12.6640625" style="97" customWidth="1"/>
    <col min="10211" max="10211" width="60.33203125" style="97" customWidth="1"/>
    <col min="10212" max="10213" width="12.6640625" style="97" customWidth="1"/>
    <col min="10214" max="10214" width="12.33203125" style="97" bestFit="1" customWidth="1"/>
    <col min="10215" max="10215" width="15.6640625" style="97" customWidth="1"/>
    <col min="10216" max="10216" width="17.6640625" style="97" bestFit="1" customWidth="1"/>
    <col min="10217" max="10217" width="8.6640625" style="97"/>
    <col min="10218" max="10218" width="18" style="97" bestFit="1" customWidth="1"/>
    <col min="10219" max="10220" width="8.6640625" style="97"/>
    <col min="10221" max="10221" width="21.6640625" style="97" customWidth="1"/>
    <col min="10222" max="10222" width="9.44140625" style="97" bestFit="1" customWidth="1"/>
    <col min="10223" max="10465" width="8.6640625" style="97"/>
    <col min="10466" max="10466" width="12.6640625" style="97" customWidth="1"/>
    <col min="10467" max="10467" width="60.33203125" style="97" customWidth="1"/>
    <col min="10468" max="10469" width="12.6640625" style="97" customWidth="1"/>
    <col min="10470" max="10470" width="12.33203125" style="97" bestFit="1" customWidth="1"/>
    <col min="10471" max="10471" width="15.6640625" style="97" customWidth="1"/>
    <col min="10472" max="10472" width="17.6640625" style="97" bestFit="1" customWidth="1"/>
    <col min="10473" max="10473" width="8.6640625" style="97"/>
    <col min="10474" max="10474" width="18" style="97" bestFit="1" customWidth="1"/>
    <col min="10475" max="10476" width="8.6640625" style="97"/>
    <col min="10477" max="10477" width="21.6640625" style="97" customWidth="1"/>
    <col min="10478" max="10478" width="9.44140625" style="97" bestFit="1" customWidth="1"/>
    <col min="10479" max="10721" width="8.6640625" style="97"/>
    <col min="10722" max="10722" width="12.6640625" style="97" customWidth="1"/>
    <col min="10723" max="10723" width="60.33203125" style="97" customWidth="1"/>
    <col min="10724" max="10725" width="12.6640625" style="97" customWidth="1"/>
    <col min="10726" max="10726" width="12.33203125" style="97" bestFit="1" customWidth="1"/>
    <col min="10727" max="10727" width="15.6640625" style="97" customWidth="1"/>
    <col min="10728" max="10728" width="17.6640625" style="97" bestFit="1" customWidth="1"/>
    <col min="10729" max="10729" width="8.6640625" style="97"/>
    <col min="10730" max="10730" width="18" style="97" bestFit="1" customWidth="1"/>
    <col min="10731" max="10732" width="8.6640625" style="97"/>
    <col min="10733" max="10733" width="21.6640625" style="97" customWidth="1"/>
    <col min="10734" max="10734" width="9.44140625" style="97" bestFit="1" customWidth="1"/>
    <col min="10735" max="10977" width="8.6640625" style="97"/>
    <col min="10978" max="10978" width="12.6640625" style="97" customWidth="1"/>
    <col min="10979" max="10979" width="60.33203125" style="97" customWidth="1"/>
    <col min="10980" max="10981" width="12.6640625" style="97" customWidth="1"/>
    <col min="10982" max="10982" width="12.33203125" style="97" bestFit="1" customWidth="1"/>
    <col min="10983" max="10983" width="15.6640625" style="97" customWidth="1"/>
    <col min="10984" max="10984" width="17.6640625" style="97" bestFit="1" customWidth="1"/>
    <col min="10985" max="10985" width="8.6640625" style="97"/>
    <col min="10986" max="10986" width="18" style="97" bestFit="1" customWidth="1"/>
    <col min="10987" max="10988" width="8.6640625" style="97"/>
    <col min="10989" max="10989" width="21.6640625" style="97" customWidth="1"/>
    <col min="10990" max="10990" width="9.44140625" style="97" bestFit="1" customWidth="1"/>
    <col min="10991" max="11233" width="8.6640625" style="97"/>
    <col min="11234" max="11234" width="12.6640625" style="97" customWidth="1"/>
    <col min="11235" max="11235" width="60.33203125" style="97" customWidth="1"/>
    <col min="11236" max="11237" width="12.6640625" style="97" customWidth="1"/>
    <col min="11238" max="11238" width="12.33203125" style="97" bestFit="1" customWidth="1"/>
    <col min="11239" max="11239" width="15.6640625" style="97" customWidth="1"/>
    <col min="11240" max="11240" width="17.6640625" style="97" bestFit="1" customWidth="1"/>
    <col min="11241" max="11241" width="8.6640625" style="97"/>
    <col min="11242" max="11242" width="18" style="97" bestFit="1" customWidth="1"/>
    <col min="11243" max="11244" width="8.6640625" style="97"/>
    <col min="11245" max="11245" width="21.6640625" style="97" customWidth="1"/>
    <col min="11246" max="11246" width="9.44140625" style="97" bestFit="1" customWidth="1"/>
    <col min="11247" max="11489" width="8.6640625" style="97"/>
    <col min="11490" max="11490" width="12.6640625" style="97" customWidth="1"/>
    <col min="11491" max="11491" width="60.33203125" style="97" customWidth="1"/>
    <col min="11492" max="11493" width="12.6640625" style="97" customWidth="1"/>
    <col min="11494" max="11494" width="12.33203125" style="97" bestFit="1" customWidth="1"/>
    <col min="11495" max="11495" width="15.6640625" style="97" customWidth="1"/>
    <col min="11496" max="11496" width="17.6640625" style="97" bestFit="1" customWidth="1"/>
    <col min="11497" max="11497" width="8.6640625" style="97"/>
    <col min="11498" max="11498" width="18" style="97" bestFit="1" customWidth="1"/>
    <col min="11499" max="11500" width="8.6640625" style="97"/>
    <col min="11501" max="11501" width="21.6640625" style="97" customWidth="1"/>
    <col min="11502" max="11502" width="9.44140625" style="97" bestFit="1" customWidth="1"/>
    <col min="11503" max="11745" width="8.6640625" style="97"/>
    <col min="11746" max="11746" width="12.6640625" style="97" customWidth="1"/>
    <col min="11747" max="11747" width="60.33203125" style="97" customWidth="1"/>
    <col min="11748" max="11749" width="12.6640625" style="97" customWidth="1"/>
    <col min="11750" max="11750" width="12.33203125" style="97" bestFit="1" customWidth="1"/>
    <col min="11751" max="11751" width="15.6640625" style="97" customWidth="1"/>
    <col min="11752" max="11752" width="17.6640625" style="97" bestFit="1" customWidth="1"/>
    <col min="11753" max="11753" width="8.6640625" style="97"/>
    <col min="11754" max="11754" width="18" style="97" bestFit="1" customWidth="1"/>
    <col min="11755" max="11756" width="8.6640625" style="97"/>
    <col min="11757" max="11757" width="21.6640625" style="97" customWidth="1"/>
    <col min="11758" max="11758" width="9.44140625" style="97" bestFit="1" customWidth="1"/>
    <col min="11759" max="12001" width="8.6640625" style="97"/>
    <col min="12002" max="12002" width="12.6640625" style="97" customWidth="1"/>
    <col min="12003" max="12003" width="60.33203125" style="97" customWidth="1"/>
    <col min="12004" max="12005" width="12.6640625" style="97" customWidth="1"/>
    <col min="12006" max="12006" width="12.33203125" style="97" bestFit="1" customWidth="1"/>
    <col min="12007" max="12007" width="15.6640625" style="97" customWidth="1"/>
    <col min="12008" max="12008" width="17.6640625" style="97" bestFit="1" customWidth="1"/>
    <col min="12009" max="12009" width="8.6640625" style="97"/>
    <col min="12010" max="12010" width="18" style="97" bestFit="1" customWidth="1"/>
    <col min="12011" max="12012" width="8.6640625" style="97"/>
    <col min="12013" max="12013" width="21.6640625" style="97" customWidth="1"/>
    <col min="12014" max="12014" width="9.44140625" style="97" bestFit="1" customWidth="1"/>
    <col min="12015" max="12257" width="8.6640625" style="97"/>
    <col min="12258" max="12258" width="12.6640625" style="97" customWidth="1"/>
    <col min="12259" max="12259" width="60.33203125" style="97" customWidth="1"/>
    <col min="12260" max="12261" width="12.6640625" style="97" customWidth="1"/>
    <col min="12262" max="12262" width="12.33203125" style="97" bestFit="1" customWidth="1"/>
    <col min="12263" max="12263" width="15.6640625" style="97" customWidth="1"/>
    <col min="12264" max="12264" width="17.6640625" style="97" bestFit="1" customWidth="1"/>
    <col min="12265" max="12265" width="8.6640625" style="97"/>
    <col min="12266" max="12266" width="18" style="97" bestFit="1" customWidth="1"/>
    <col min="12267" max="12268" width="8.6640625" style="97"/>
    <col min="12269" max="12269" width="21.6640625" style="97" customWidth="1"/>
    <col min="12270" max="12270" width="9.44140625" style="97" bestFit="1" customWidth="1"/>
    <col min="12271" max="12513" width="8.6640625" style="97"/>
    <col min="12514" max="12514" width="12.6640625" style="97" customWidth="1"/>
    <col min="12515" max="12515" width="60.33203125" style="97" customWidth="1"/>
    <col min="12516" max="12517" width="12.6640625" style="97" customWidth="1"/>
    <col min="12518" max="12518" width="12.33203125" style="97" bestFit="1" customWidth="1"/>
    <col min="12519" max="12519" width="15.6640625" style="97" customWidth="1"/>
    <col min="12520" max="12520" width="17.6640625" style="97" bestFit="1" customWidth="1"/>
    <col min="12521" max="12521" width="8.6640625" style="97"/>
    <col min="12522" max="12522" width="18" style="97" bestFit="1" customWidth="1"/>
    <col min="12523" max="12524" width="8.6640625" style="97"/>
    <col min="12525" max="12525" width="21.6640625" style="97" customWidth="1"/>
    <col min="12526" max="12526" width="9.44140625" style="97" bestFit="1" customWidth="1"/>
    <col min="12527" max="12769" width="8.6640625" style="97"/>
    <col min="12770" max="12770" width="12.6640625" style="97" customWidth="1"/>
    <col min="12771" max="12771" width="60.33203125" style="97" customWidth="1"/>
    <col min="12772" max="12773" width="12.6640625" style="97" customWidth="1"/>
    <col min="12774" max="12774" width="12.33203125" style="97" bestFit="1" customWidth="1"/>
    <col min="12775" max="12775" width="15.6640625" style="97" customWidth="1"/>
    <col min="12776" max="12776" width="17.6640625" style="97" bestFit="1" customWidth="1"/>
    <col min="12777" max="12777" width="8.6640625" style="97"/>
    <col min="12778" max="12778" width="18" style="97" bestFit="1" customWidth="1"/>
    <col min="12779" max="12780" width="8.6640625" style="97"/>
    <col min="12781" max="12781" width="21.6640625" style="97" customWidth="1"/>
    <col min="12782" max="12782" width="9.44140625" style="97" bestFit="1" customWidth="1"/>
    <col min="12783" max="13025" width="8.6640625" style="97"/>
    <col min="13026" max="13026" width="12.6640625" style="97" customWidth="1"/>
    <col min="13027" max="13027" width="60.33203125" style="97" customWidth="1"/>
    <col min="13028" max="13029" width="12.6640625" style="97" customWidth="1"/>
    <col min="13030" max="13030" width="12.33203125" style="97" bestFit="1" customWidth="1"/>
    <col min="13031" max="13031" width="15.6640625" style="97" customWidth="1"/>
    <col min="13032" max="13032" width="17.6640625" style="97" bestFit="1" customWidth="1"/>
    <col min="13033" max="13033" width="8.6640625" style="97"/>
    <col min="13034" max="13034" width="18" style="97" bestFit="1" customWidth="1"/>
    <col min="13035" max="13036" width="8.6640625" style="97"/>
    <col min="13037" max="13037" width="21.6640625" style="97" customWidth="1"/>
    <col min="13038" max="13038" width="9.44140625" style="97" bestFit="1" customWidth="1"/>
    <col min="13039" max="13281" width="8.6640625" style="97"/>
    <col min="13282" max="13282" width="12.6640625" style="97" customWidth="1"/>
    <col min="13283" max="13283" width="60.33203125" style="97" customWidth="1"/>
    <col min="13284" max="13285" width="12.6640625" style="97" customWidth="1"/>
    <col min="13286" max="13286" width="12.33203125" style="97" bestFit="1" customWidth="1"/>
    <col min="13287" max="13287" width="15.6640625" style="97" customWidth="1"/>
    <col min="13288" max="13288" width="17.6640625" style="97" bestFit="1" customWidth="1"/>
    <col min="13289" max="13289" width="8.6640625" style="97"/>
    <col min="13290" max="13290" width="18" style="97" bestFit="1" customWidth="1"/>
    <col min="13291" max="13292" width="8.6640625" style="97"/>
    <col min="13293" max="13293" width="21.6640625" style="97" customWidth="1"/>
    <col min="13294" max="13294" width="9.44140625" style="97" bestFit="1" customWidth="1"/>
    <col min="13295" max="13537" width="8.6640625" style="97"/>
    <col min="13538" max="13538" width="12.6640625" style="97" customWidth="1"/>
    <col min="13539" max="13539" width="60.33203125" style="97" customWidth="1"/>
    <col min="13540" max="13541" width="12.6640625" style="97" customWidth="1"/>
    <col min="13542" max="13542" width="12.33203125" style="97" bestFit="1" customWidth="1"/>
    <col min="13543" max="13543" width="15.6640625" style="97" customWidth="1"/>
    <col min="13544" max="13544" width="17.6640625" style="97" bestFit="1" customWidth="1"/>
    <col min="13545" max="13545" width="8.6640625" style="97"/>
    <col min="13546" max="13546" width="18" style="97" bestFit="1" customWidth="1"/>
    <col min="13547" max="13548" width="8.6640625" style="97"/>
    <col min="13549" max="13549" width="21.6640625" style="97" customWidth="1"/>
    <col min="13550" max="13550" width="9.44140625" style="97" bestFit="1" customWidth="1"/>
    <col min="13551" max="13793" width="8.6640625" style="97"/>
    <col min="13794" max="13794" width="12.6640625" style="97" customWidth="1"/>
    <col min="13795" max="13795" width="60.33203125" style="97" customWidth="1"/>
    <col min="13796" max="13797" width="12.6640625" style="97" customWidth="1"/>
    <col min="13798" max="13798" width="12.33203125" style="97" bestFit="1" customWidth="1"/>
    <col min="13799" max="13799" width="15.6640625" style="97" customWidth="1"/>
    <col min="13800" max="13800" width="17.6640625" style="97" bestFit="1" customWidth="1"/>
    <col min="13801" max="13801" width="8.6640625" style="97"/>
    <col min="13802" max="13802" width="18" style="97" bestFit="1" customWidth="1"/>
    <col min="13803" max="13804" width="8.6640625" style="97"/>
    <col min="13805" max="13805" width="21.6640625" style="97" customWidth="1"/>
    <col min="13806" max="13806" width="9.44140625" style="97" bestFit="1" customWidth="1"/>
    <col min="13807" max="14049" width="8.6640625" style="97"/>
    <col min="14050" max="14050" width="12.6640625" style="97" customWidth="1"/>
    <col min="14051" max="14051" width="60.33203125" style="97" customWidth="1"/>
    <col min="14052" max="14053" width="12.6640625" style="97" customWidth="1"/>
    <col min="14054" max="14054" width="12.33203125" style="97" bestFit="1" customWidth="1"/>
    <col min="14055" max="14055" width="15.6640625" style="97" customWidth="1"/>
    <col min="14056" max="14056" width="17.6640625" style="97" bestFit="1" customWidth="1"/>
    <col min="14057" max="14057" width="8.6640625" style="97"/>
    <col min="14058" max="14058" width="18" style="97" bestFit="1" customWidth="1"/>
    <col min="14059" max="14060" width="8.6640625" style="97"/>
    <col min="14061" max="14061" width="21.6640625" style="97" customWidth="1"/>
    <col min="14062" max="14062" width="9.44140625" style="97" bestFit="1" customWidth="1"/>
    <col min="14063" max="14305" width="8.6640625" style="97"/>
    <col min="14306" max="14306" width="12.6640625" style="97" customWidth="1"/>
    <col min="14307" max="14307" width="60.33203125" style="97" customWidth="1"/>
    <col min="14308" max="14309" width="12.6640625" style="97" customWidth="1"/>
    <col min="14310" max="14310" width="12.33203125" style="97" bestFit="1" customWidth="1"/>
    <col min="14311" max="14311" width="15.6640625" style="97" customWidth="1"/>
    <col min="14312" max="14312" width="17.6640625" style="97" bestFit="1" customWidth="1"/>
    <col min="14313" max="14313" width="8.6640625" style="97"/>
    <col min="14314" max="14314" width="18" style="97" bestFit="1" customWidth="1"/>
    <col min="14315" max="14316" width="8.6640625" style="97"/>
    <col min="14317" max="14317" width="21.6640625" style="97" customWidth="1"/>
    <col min="14318" max="14318" width="9.44140625" style="97" bestFit="1" customWidth="1"/>
    <col min="14319" max="14561" width="8.6640625" style="97"/>
    <col min="14562" max="14562" width="12.6640625" style="97" customWidth="1"/>
    <col min="14563" max="14563" width="60.33203125" style="97" customWidth="1"/>
    <col min="14564" max="14565" width="12.6640625" style="97" customWidth="1"/>
    <col min="14566" max="14566" width="12.33203125" style="97" bestFit="1" customWidth="1"/>
    <col min="14567" max="14567" width="15.6640625" style="97" customWidth="1"/>
    <col min="14568" max="14568" width="17.6640625" style="97" bestFit="1" customWidth="1"/>
    <col min="14569" max="14569" width="8.6640625" style="97"/>
    <col min="14570" max="14570" width="18" style="97" bestFit="1" customWidth="1"/>
    <col min="14571" max="14572" width="8.6640625" style="97"/>
    <col min="14573" max="14573" width="21.6640625" style="97" customWidth="1"/>
    <col min="14574" max="14574" width="9.44140625" style="97" bestFit="1" customWidth="1"/>
    <col min="14575" max="14817" width="8.6640625" style="97"/>
    <col min="14818" max="14818" width="12.6640625" style="97" customWidth="1"/>
    <col min="14819" max="14819" width="60.33203125" style="97" customWidth="1"/>
    <col min="14820" max="14821" width="12.6640625" style="97" customWidth="1"/>
    <col min="14822" max="14822" width="12.33203125" style="97" bestFit="1" customWidth="1"/>
    <col min="14823" max="14823" width="15.6640625" style="97" customWidth="1"/>
    <col min="14824" max="14824" width="17.6640625" style="97" bestFit="1" customWidth="1"/>
    <col min="14825" max="14825" width="8.6640625" style="97"/>
    <col min="14826" max="14826" width="18" style="97" bestFit="1" customWidth="1"/>
    <col min="14827" max="14828" width="8.6640625" style="97"/>
    <col min="14829" max="14829" width="21.6640625" style="97" customWidth="1"/>
    <col min="14830" max="14830" width="9.44140625" style="97" bestFit="1" customWidth="1"/>
    <col min="14831" max="15073" width="8.6640625" style="97"/>
    <col min="15074" max="15074" width="12.6640625" style="97" customWidth="1"/>
    <col min="15075" max="15075" width="60.33203125" style="97" customWidth="1"/>
    <col min="15076" max="15077" width="12.6640625" style="97" customWidth="1"/>
    <col min="15078" max="15078" width="12.33203125" style="97" bestFit="1" customWidth="1"/>
    <col min="15079" max="15079" width="15.6640625" style="97" customWidth="1"/>
    <col min="15080" max="15080" width="17.6640625" style="97" bestFit="1" customWidth="1"/>
    <col min="15081" max="15081" width="8.6640625" style="97"/>
    <col min="15082" max="15082" width="18" style="97" bestFit="1" customWidth="1"/>
    <col min="15083" max="15084" width="8.6640625" style="97"/>
    <col min="15085" max="15085" width="21.6640625" style="97" customWidth="1"/>
    <col min="15086" max="15086" width="9.44140625" style="97" bestFit="1" customWidth="1"/>
    <col min="15087" max="15329" width="8.6640625" style="97"/>
    <col min="15330" max="15330" width="12.6640625" style="97" customWidth="1"/>
    <col min="15331" max="15331" width="60.33203125" style="97" customWidth="1"/>
    <col min="15332" max="15333" width="12.6640625" style="97" customWidth="1"/>
    <col min="15334" max="15334" width="12.33203125" style="97" bestFit="1" customWidth="1"/>
    <col min="15335" max="15335" width="15.6640625" style="97" customWidth="1"/>
    <col min="15336" max="15336" width="17.6640625" style="97" bestFit="1" customWidth="1"/>
    <col min="15337" max="15337" width="8.6640625" style="97"/>
    <col min="15338" max="15338" width="18" style="97" bestFit="1" customWidth="1"/>
    <col min="15339" max="15340" width="8.6640625" style="97"/>
    <col min="15341" max="15341" width="21.6640625" style="97" customWidth="1"/>
    <col min="15342" max="15342" width="9.44140625" style="97" bestFit="1" customWidth="1"/>
    <col min="15343" max="15585" width="8.6640625" style="97"/>
    <col min="15586" max="15586" width="12.6640625" style="97" customWidth="1"/>
    <col min="15587" max="15587" width="60.33203125" style="97" customWidth="1"/>
    <col min="15588" max="15589" width="12.6640625" style="97" customWidth="1"/>
    <col min="15590" max="15590" width="12.33203125" style="97" bestFit="1" customWidth="1"/>
    <col min="15591" max="15591" width="15.6640625" style="97" customWidth="1"/>
    <col min="15592" max="15592" width="17.6640625" style="97" bestFit="1" customWidth="1"/>
    <col min="15593" max="15593" width="8.6640625" style="97"/>
    <col min="15594" max="15594" width="18" style="97" bestFit="1" customWidth="1"/>
    <col min="15595" max="15596" width="8.6640625" style="97"/>
    <col min="15597" max="15597" width="21.6640625" style="97" customWidth="1"/>
    <col min="15598" max="15598" width="9.44140625" style="97" bestFit="1" customWidth="1"/>
    <col min="15599" max="15841" width="8.6640625" style="97"/>
    <col min="15842" max="15842" width="12.6640625" style="97" customWidth="1"/>
    <col min="15843" max="15843" width="60.33203125" style="97" customWidth="1"/>
    <col min="15844" max="15845" width="12.6640625" style="97" customWidth="1"/>
    <col min="15846" max="15846" width="12.33203125" style="97" bestFit="1" customWidth="1"/>
    <col min="15847" max="15847" width="15.6640625" style="97" customWidth="1"/>
    <col min="15848" max="15848" width="17.6640625" style="97" bestFit="1" customWidth="1"/>
    <col min="15849" max="15849" width="8.6640625" style="97"/>
    <col min="15850" max="15850" width="18" style="97" bestFit="1" customWidth="1"/>
    <col min="15851" max="15852" width="8.6640625" style="97"/>
    <col min="15853" max="15853" width="21.6640625" style="97" customWidth="1"/>
    <col min="15854" max="15854" width="9.44140625" style="97" bestFit="1" customWidth="1"/>
    <col min="15855" max="16097" width="8.6640625" style="97"/>
    <col min="16098" max="16098" width="12.6640625" style="97" customWidth="1"/>
    <col min="16099" max="16099" width="60.33203125" style="97" customWidth="1"/>
    <col min="16100" max="16101" width="12.6640625" style="97" customWidth="1"/>
    <col min="16102" max="16102" width="12.33203125" style="97" bestFit="1" customWidth="1"/>
    <col min="16103" max="16103" width="15.6640625" style="97" customWidth="1"/>
    <col min="16104" max="16104" width="17.6640625" style="97" bestFit="1" customWidth="1"/>
    <col min="16105" max="16105" width="8.6640625" style="97"/>
    <col min="16106" max="16106" width="18" style="97" bestFit="1" customWidth="1"/>
    <col min="16107" max="16108" width="8.6640625" style="97"/>
    <col min="16109" max="16109" width="21.6640625" style="97" customWidth="1"/>
    <col min="16110" max="16110" width="9.44140625" style="97" bestFit="1" customWidth="1"/>
    <col min="16111" max="16384" width="8.6640625" style="97"/>
  </cols>
  <sheetData>
    <row r="1" spans="1:17" ht="81" customHeight="1" thickBot="1">
      <c r="A1" s="538" t="s">
        <v>94</v>
      </c>
      <c r="B1" s="539"/>
      <c r="C1" s="540" t="str">
        <f>'Custo Gerencial LOTE 04'!C2:E2</f>
        <v>BR-163/230/MT/PA</v>
      </c>
      <c r="D1" s="540"/>
      <c r="E1" s="540"/>
      <c r="F1" s="293"/>
      <c r="G1" s="293"/>
      <c r="H1" s="143">
        <f>'Custo Gerencial LOTE 04'!C3</f>
        <v>1009.53</v>
      </c>
    </row>
    <row r="2" spans="1:17" ht="19.95" customHeight="1" thickBot="1">
      <c r="A2" s="98"/>
      <c r="B2" s="99"/>
      <c r="C2" s="99"/>
      <c r="D2" s="99"/>
      <c r="E2" s="100"/>
      <c r="F2" s="100"/>
      <c r="G2" s="100"/>
      <c r="L2" s="101" t="s">
        <v>95</v>
      </c>
      <c r="M2" s="67">
        <v>400</v>
      </c>
    </row>
    <row r="3" spans="1:17" ht="19.95" customHeight="1">
      <c r="A3" s="144" t="s">
        <v>75</v>
      </c>
      <c r="B3" s="535" t="s">
        <v>76</v>
      </c>
      <c r="C3" s="535"/>
      <c r="D3" s="535"/>
      <c r="E3" s="535"/>
      <c r="F3" s="536"/>
      <c r="G3" s="536"/>
      <c r="H3" s="537"/>
      <c r="L3" s="541" t="s">
        <v>96</v>
      </c>
      <c r="M3" s="542"/>
      <c r="N3" s="542"/>
      <c r="O3" s="542"/>
      <c r="P3" s="542"/>
      <c r="Q3" s="543"/>
    </row>
    <row r="4" spans="1:17" ht="19.95" customHeight="1">
      <c r="A4" s="102" t="s">
        <v>12</v>
      </c>
      <c r="B4" s="103" t="s">
        <v>14</v>
      </c>
      <c r="C4" s="103" t="s">
        <v>15</v>
      </c>
      <c r="D4" s="103" t="s">
        <v>16</v>
      </c>
      <c r="E4" s="103" t="s">
        <v>97</v>
      </c>
      <c r="F4" s="294" t="s">
        <v>255</v>
      </c>
      <c r="G4" s="294" t="s">
        <v>257</v>
      </c>
      <c r="H4" s="104" t="s">
        <v>98</v>
      </c>
      <c r="L4" s="209" t="s">
        <v>99</v>
      </c>
      <c r="M4" s="210" t="s">
        <v>100</v>
      </c>
      <c r="N4" s="210" t="s">
        <v>101</v>
      </c>
      <c r="O4" s="210" t="s">
        <v>102</v>
      </c>
      <c r="P4" s="210" t="s">
        <v>103</v>
      </c>
      <c r="Q4" s="210" t="s">
        <v>104</v>
      </c>
    </row>
    <row r="5" spans="1:17" ht="19.95" customHeight="1">
      <c r="A5" s="105"/>
      <c r="B5" s="35" t="str">
        <f>B3</f>
        <v>Relatório de Apoio na Análise da Monitoração do Pavimento</v>
      </c>
      <c r="C5" s="36"/>
      <c r="D5" s="106"/>
      <c r="E5" s="39"/>
      <c r="F5" s="295"/>
      <c r="G5" s="295"/>
      <c r="H5" s="345">
        <f>H23+H25</f>
        <v>885701.41662222322</v>
      </c>
      <c r="L5" s="209" t="s">
        <v>105</v>
      </c>
      <c r="M5" s="211">
        <f>264*Q6</f>
        <v>2112</v>
      </c>
      <c r="N5" s="209">
        <v>12</v>
      </c>
      <c r="O5" s="209"/>
      <c r="P5" s="209"/>
      <c r="Q5" s="209"/>
    </row>
    <row r="6" spans="1:17" ht="19.95" customHeight="1">
      <c r="A6" s="105">
        <v>1</v>
      </c>
      <c r="B6" s="35" t="s">
        <v>106</v>
      </c>
      <c r="C6" s="36"/>
      <c r="D6" s="106"/>
      <c r="E6" s="39"/>
      <c r="F6" s="295"/>
      <c r="G6" s="351">
        <f>SUM(G7:G9)</f>
        <v>27915.973110585244</v>
      </c>
      <c r="H6" s="345">
        <f>SUM(H7:H9)</f>
        <v>31245.981894032549</v>
      </c>
      <c r="L6" s="209"/>
      <c r="M6" s="209"/>
      <c r="N6" s="209"/>
      <c r="O6" s="212">
        <f>P6*Q6</f>
        <v>176</v>
      </c>
      <c r="P6" s="209">
        <v>22</v>
      </c>
      <c r="Q6" s="212">
        <v>8</v>
      </c>
    </row>
    <row r="7" spans="1:17" ht="19.95" customHeight="1">
      <c r="A7" s="32" t="s">
        <v>655</v>
      </c>
      <c r="B7" s="37" t="str">
        <f>CONCATENATE(VLOOKUP(A7,'Planilha base'!$C$11:$K$35,9,FALSE)," - Pavimentação")</f>
        <v>Engenheiro de projetos sênior - Pavimentação</v>
      </c>
      <c r="C7" s="36" t="s">
        <v>107</v>
      </c>
      <c r="D7" s="179">
        <f>($J$7*$H$1)/$M$2</f>
        <v>222.0966</v>
      </c>
      <c r="E7" s="343">
        <f>VLOOKUP(A7,'Planilha base'!$C$11:$K$35,6,FALSE)/'Planilha base'!$H$38</f>
        <v>76.099786289659704</v>
      </c>
      <c r="F7" s="284">
        <f>VLOOKUP(A7,'Planilha base'!$C$11:$K$35,4,FALSE)</f>
        <v>0.86</v>
      </c>
      <c r="G7" s="352">
        <f>D7*E7*F7</f>
        <v>14535.29326426763</v>
      </c>
      <c r="H7" s="346">
        <f>D7*E7</f>
        <v>16901.503795660035</v>
      </c>
      <c r="J7" s="108">
        <f>O7</f>
        <v>88</v>
      </c>
      <c r="L7" s="213"/>
      <c r="M7" s="213"/>
      <c r="N7" s="214">
        <v>0.5</v>
      </c>
      <c r="O7" s="212">
        <f>O6*(N7)</f>
        <v>88</v>
      </c>
      <c r="P7" s="213"/>
      <c r="Q7" s="213"/>
    </row>
    <row r="8" spans="1:17" ht="19.95" customHeight="1">
      <c r="A8" s="32" t="s">
        <v>651</v>
      </c>
      <c r="B8" s="37" t="str">
        <f>VLOOKUP(A8,'Planilha base'!$C$11:$K$35,9,FALSE)</f>
        <v>Engenheiro de projetos júnior</v>
      </c>
      <c r="C8" s="36" t="s">
        <v>107</v>
      </c>
      <c r="D8" s="179">
        <f>($J$7*$H$1)/$M$2</f>
        <v>222.0966</v>
      </c>
      <c r="E8" s="343">
        <f>VLOOKUP(A8,'Planilha base'!$C$11:$K$35,6,FALSE)/'Planilha base'!$H$38</f>
        <v>51.235684147076547</v>
      </c>
      <c r="F8" s="284">
        <f>VLOOKUP(A8,'Planilha base'!$C$11:$K$35,4,FALSE)</f>
        <v>0.89</v>
      </c>
      <c r="G8" s="352">
        <f t="shared" ref="G8:G9" si="0">D8*E8*F8</f>
        <v>10127.551410488246</v>
      </c>
      <c r="H8" s="346">
        <f>D8*E8</f>
        <v>11379.271247739602</v>
      </c>
      <c r="N8" s="109"/>
      <c r="O8" s="110"/>
    </row>
    <row r="9" spans="1:17" ht="19.95" customHeight="1">
      <c r="A9" s="32" t="s">
        <v>719</v>
      </c>
      <c r="B9" s="37" t="str">
        <f>VLOOKUP(A9,'Planilha base'!$C$11:$K$35,9,FALSE)</f>
        <v>Técnico de obras</v>
      </c>
      <c r="C9" s="36" t="s">
        <v>107</v>
      </c>
      <c r="D9" s="179">
        <f>($J$7*$H$1)/$M$2</f>
        <v>222.0966</v>
      </c>
      <c r="E9" s="343">
        <f>VLOOKUP(A9,'Planilha base'!$C$11:$K$35,6,FALSE)/'Planilha base'!$H$38</f>
        <v>13.350978135788262</v>
      </c>
      <c r="F9" s="284">
        <f>VLOOKUP(A9,'Planilha base'!$C$11:$K$35,4,FALSE)</f>
        <v>1.0971</v>
      </c>
      <c r="G9" s="352">
        <f t="shared" si="0"/>
        <v>3253.1284358293665</v>
      </c>
      <c r="H9" s="346">
        <f>D9*E9</f>
        <v>2965.206850632911</v>
      </c>
      <c r="N9" s="82"/>
    </row>
    <row r="10" spans="1:17" ht="19.95" customHeight="1">
      <c r="A10" s="107"/>
      <c r="B10" s="37"/>
      <c r="C10" s="36"/>
      <c r="D10" s="111"/>
      <c r="E10" s="205"/>
      <c r="F10" s="284"/>
      <c r="G10" s="284"/>
      <c r="H10" s="346"/>
      <c r="Q10" s="112"/>
    </row>
    <row r="11" spans="1:17" ht="19.95" customHeight="1">
      <c r="A11" s="105">
        <v>2</v>
      </c>
      <c r="B11" s="35" t="s">
        <v>334</v>
      </c>
      <c r="C11" s="113"/>
      <c r="D11" s="106"/>
      <c r="E11" s="362"/>
      <c r="F11" s="285"/>
      <c r="G11" s="285"/>
      <c r="H11" s="345">
        <f>SUM(H12:H12)</f>
        <v>6756.2952615273516</v>
      </c>
      <c r="O11" s="114"/>
    </row>
    <row r="12" spans="1:17" ht="19.95" customHeight="1">
      <c r="A12" s="32" t="s">
        <v>335</v>
      </c>
      <c r="B12" s="45" t="s">
        <v>334</v>
      </c>
      <c r="C12" s="47" t="s">
        <v>52</v>
      </c>
      <c r="D12" s="111">
        <f>H6+G6</f>
        <v>59161.95500461779</v>
      </c>
      <c r="E12" s="206">
        <f>'Planilha base'!$H$39</f>
        <v>0.1142</v>
      </c>
      <c r="F12" s="281"/>
      <c r="G12" s="281"/>
      <c r="H12" s="346">
        <f>D12*E12</f>
        <v>6756.2952615273516</v>
      </c>
    </row>
    <row r="13" spans="1:17" ht="19.95" customHeight="1">
      <c r="A13" s="107"/>
      <c r="B13" s="37"/>
      <c r="C13" s="36"/>
      <c r="D13" s="111"/>
      <c r="E13" s="205"/>
      <c r="F13" s="284"/>
      <c r="G13" s="284"/>
      <c r="H13" s="346"/>
    </row>
    <row r="14" spans="1:17" ht="19.95" customHeight="1">
      <c r="A14" s="105">
        <v>3</v>
      </c>
      <c r="B14" s="35" t="s">
        <v>275</v>
      </c>
      <c r="C14" s="113"/>
      <c r="D14" s="106"/>
      <c r="E14" s="362"/>
      <c r="F14" s="285"/>
      <c r="G14" s="285"/>
      <c r="H14" s="345">
        <f>SUM(H15:H18)</f>
        <v>564080.85164999997</v>
      </c>
    </row>
    <row r="15" spans="1:17" ht="19.95" customHeight="1">
      <c r="A15" s="32" t="s">
        <v>276</v>
      </c>
      <c r="B15" s="46" t="s">
        <v>273</v>
      </c>
      <c r="C15" s="304" t="s">
        <v>278</v>
      </c>
      <c r="D15" s="111">
        <f>SUM('Faixas de Rolamento'!H8)</f>
        <v>844.34799999999996</v>
      </c>
      <c r="E15" s="343">
        <f>'Mapa de Preços'!I20</f>
        <v>281.84000000000003</v>
      </c>
      <c r="F15" s="281"/>
      <c r="G15" s="281"/>
      <c r="H15" s="346">
        <f>D15*E15</f>
        <v>237971.04032</v>
      </c>
    </row>
    <row r="16" spans="1:17" ht="19.95" customHeight="1">
      <c r="A16" s="107" t="s">
        <v>277</v>
      </c>
      <c r="B16" s="46" t="s">
        <v>274</v>
      </c>
      <c r="C16" s="304" t="s">
        <v>278</v>
      </c>
      <c r="D16" s="111">
        <f>'Faixas de Rolamento'!I8</f>
        <v>2110.87</v>
      </c>
      <c r="E16" s="343">
        <f>'Mapa de Preços'!I21</f>
        <v>60.494999999999997</v>
      </c>
      <c r="F16" s="284"/>
      <c r="G16" s="284"/>
      <c r="H16" s="346">
        <f t="shared" ref="H16:H18" si="1">D16*E16</f>
        <v>127697.08064999999</v>
      </c>
    </row>
    <row r="17" spans="1:18" ht="19.95" customHeight="1">
      <c r="A17" s="32" t="s">
        <v>280</v>
      </c>
      <c r="B17" s="46" t="s">
        <v>331</v>
      </c>
      <c r="C17" s="304" t="s">
        <v>278</v>
      </c>
      <c r="D17" s="111">
        <f>'Faixas de Rolamento'!J8</f>
        <v>844.34799999999996</v>
      </c>
      <c r="E17" s="343">
        <f>'Mapa de Preços'!I22</f>
        <v>148.285</v>
      </c>
      <c r="F17" s="284"/>
      <c r="G17" s="284"/>
      <c r="H17" s="346">
        <f t="shared" si="1"/>
        <v>125204.14317999998</v>
      </c>
    </row>
    <row r="18" spans="1:18" ht="19.95" customHeight="1">
      <c r="A18" s="107" t="s">
        <v>281</v>
      </c>
      <c r="B18" s="46" t="s">
        <v>332</v>
      </c>
      <c r="C18" s="36" t="s">
        <v>279</v>
      </c>
      <c r="D18" s="111">
        <f>'Faixas de Rolamento'!K8</f>
        <v>303</v>
      </c>
      <c r="E18" s="343">
        <f>'Mapa de Preços'!I23</f>
        <v>241.61249999999998</v>
      </c>
      <c r="F18" s="284"/>
      <c r="G18" s="284"/>
      <c r="H18" s="346">
        <f t="shared" si="1"/>
        <v>73208.587499999994</v>
      </c>
    </row>
    <row r="19" spans="1:18" ht="19.95" customHeight="1">
      <c r="A19" s="107"/>
      <c r="B19" s="37"/>
      <c r="C19" s="36"/>
      <c r="D19" s="111"/>
      <c r="E19" s="205"/>
      <c r="F19" s="284"/>
      <c r="G19" s="284"/>
      <c r="H19" s="346"/>
    </row>
    <row r="20" spans="1:18" ht="19.95" customHeight="1">
      <c r="A20" s="105">
        <v>4</v>
      </c>
      <c r="B20" s="35" t="s">
        <v>333</v>
      </c>
      <c r="C20" s="113"/>
      <c r="D20" s="106"/>
      <c r="E20" s="362"/>
      <c r="F20" s="285"/>
      <c r="G20" s="285"/>
      <c r="H20" s="345">
        <f>SUM(H21:H22)</f>
        <v>202865.53356607811</v>
      </c>
    </row>
    <row r="21" spans="1:18" s="116" customFormat="1" ht="19.95" customHeight="1">
      <c r="A21" s="32" t="s">
        <v>336</v>
      </c>
      <c r="B21" s="37" t="s">
        <v>67</v>
      </c>
      <c r="C21" s="47" t="s">
        <v>52</v>
      </c>
      <c r="D21" s="111">
        <f>H6+G6+H14</f>
        <v>623242.80665461777</v>
      </c>
      <c r="E21" s="206">
        <f>'Planilha base'!$H$40</f>
        <v>0.12</v>
      </c>
      <c r="F21" s="281"/>
      <c r="G21" s="281"/>
      <c r="H21" s="346">
        <f>D21*E21</f>
        <v>74789.136798554129</v>
      </c>
    </row>
    <row r="22" spans="1:18" s="116" customFormat="1" ht="19.95" customHeight="1">
      <c r="A22" s="32" t="s">
        <v>108</v>
      </c>
      <c r="B22" s="37" t="s">
        <v>68</v>
      </c>
      <c r="C22" s="47" t="s">
        <v>52</v>
      </c>
      <c r="D22" s="111">
        <f>H6+G6+H14</f>
        <v>623242.80665461777</v>
      </c>
      <c r="E22" s="206">
        <f>'Planilha base'!$H$41</f>
        <v>0.20550000000000002</v>
      </c>
      <c r="F22" s="281"/>
      <c r="G22" s="281"/>
      <c r="H22" s="346">
        <f>D22*E22</f>
        <v>128076.39676752397</v>
      </c>
    </row>
    <row r="23" spans="1:18" s="116" customFormat="1" ht="19.95" customHeight="1">
      <c r="A23" s="32"/>
      <c r="B23" s="37"/>
      <c r="C23" s="47"/>
      <c r="D23" s="111"/>
      <c r="E23" s="206"/>
      <c r="F23" s="281"/>
      <c r="G23" s="281"/>
      <c r="H23" s="345">
        <f>G6+H6+H11+H14+H20</f>
        <v>832864.63548222324</v>
      </c>
    </row>
    <row r="24" spans="1:18" s="116" customFormat="1" ht="19.95" customHeight="1">
      <c r="A24" s="32"/>
      <c r="B24" s="37"/>
      <c r="C24" s="47"/>
      <c r="D24" s="111"/>
      <c r="E24" s="206"/>
      <c r="F24" s="281"/>
      <c r="G24" s="281"/>
      <c r="H24" s="346"/>
    </row>
    <row r="25" spans="1:18" s="116" customFormat="1" ht="19.95" customHeight="1">
      <c r="A25" s="117" t="s">
        <v>110</v>
      </c>
      <c r="B25" s="118" t="s">
        <v>19</v>
      </c>
      <c r="C25" s="119" t="s">
        <v>107</v>
      </c>
      <c r="D25" s="120">
        <f>SUM(D7:D9)</f>
        <v>666.28980000000001</v>
      </c>
      <c r="E25" s="349">
        <f>'Custo Gerencial LOTE 04'!$I$66</f>
        <v>79.3</v>
      </c>
      <c r="F25" s="296"/>
      <c r="G25" s="296"/>
      <c r="H25" s="347">
        <f>D25*E25</f>
        <v>52836.781139999999</v>
      </c>
    </row>
    <row r="26" spans="1:18" s="116" customFormat="1" ht="19.95" customHeight="1">
      <c r="A26" s="32"/>
      <c r="B26" s="37"/>
      <c r="C26" s="47"/>
      <c r="D26" s="111"/>
      <c r="E26" s="206"/>
      <c r="F26" s="281"/>
      <c r="G26" s="281"/>
      <c r="H26" s="346"/>
    </row>
    <row r="27" spans="1:18" s="116" customFormat="1" ht="19.95" customHeight="1" thickBot="1">
      <c r="A27" s="121"/>
      <c r="B27" s="122" t="s">
        <v>111</v>
      </c>
      <c r="C27" s="123" t="s">
        <v>57</v>
      </c>
      <c r="D27" s="124">
        <v>1</v>
      </c>
      <c r="E27" s="363">
        <f>H5</f>
        <v>885701.41662222322</v>
      </c>
      <c r="F27" s="364"/>
      <c r="G27" s="364"/>
      <c r="H27" s="348">
        <f>E27*D27</f>
        <v>885701.41662222322</v>
      </c>
      <c r="L27" s="125"/>
      <c r="M27" s="125"/>
      <c r="N27" s="125"/>
      <c r="O27" s="125"/>
      <c r="P27" s="125"/>
      <c r="Q27" s="125"/>
      <c r="R27" s="125"/>
    </row>
    <row r="28" spans="1:18" ht="19.95" customHeight="1" thickBot="1">
      <c r="A28" s="126"/>
      <c r="B28" s="126"/>
      <c r="C28" s="126"/>
      <c r="D28" s="126"/>
      <c r="E28" s="126"/>
      <c r="F28" s="126"/>
      <c r="G28" s="126"/>
      <c r="H28" s="126"/>
      <c r="L28" s="127"/>
      <c r="M28" s="127"/>
      <c r="N28" s="127"/>
      <c r="O28" s="127"/>
      <c r="P28" s="127"/>
      <c r="Q28" s="127"/>
      <c r="R28" s="127"/>
    </row>
    <row r="29" spans="1:18" ht="19.95" customHeight="1">
      <c r="A29" s="144" t="s">
        <v>77</v>
      </c>
      <c r="B29" s="535" t="s">
        <v>78</v>
      </c>
      <c r="C29" s="535"/>
      <c r="D29" s="535"/>
      <c r="E29" s="535"/>
      <c r="F29" s="536"/>
      <c r="G29" s="536"/>
      <c r="H29" s="537"/>
    </row>
    <row r="30" spans="1:18" ht="19.95" customHeight="1">
      <c r="A30" s="102" t="s">
        <v>12</v>
      </c>
      <c r="B30" s="103" t="s">
        <v>14</v>
      </c>
      <c r="C30" s="103" t="s">
        <v>15</v>
      </c>
      <c r="D30" s="103" t="s">
        <v>16</v>
      </c>
      <c r="E30" s="103" t="s">
        <v>97</v>
      </c>
      <c r="F30" s="294" t="s">
        <v>255</v>
      </c>
      <c r="G30" s="294" t="s">
        <v>257</v>
      </c>
      <c r="H30" s="104" t="s">
        <v>98</v>
      </c>
    </row>
    <row r="31" spans="1:18" ht="19.95" customHeight="1">
      <c r="A31" s="105"/>
      <c r="B31" s="35" t="str">
        <f>B29</f>
        <v>Relatório de Apoio na Análise da Monitoração da Sinalização Horizontal</v>
      </c>
      <c r="C31" s="36"/>
      <c r="D31" s="106"/>
      <c r="E31" s="39"/>
      <c r="F31" s="295"/>
      <c r="G31" s="351"/>
      <c r="H31" s="345">
        <f>H46+H48</f>
        <v>159867.49201646561</v>
      </c>
    </row>
    <row r="32" spans="1:18" ht="19.95" customHeight="1">
      <c r="A32" s="105">
        <v>1</v>
      </c>
      <c r="B32" s="35" t="s">
        <v>106</v>
      </c>
      <c r="C32" s="36"/>
      <c r="D32" s="106"/>
      <c r="E32" s="39"/>
      <c r="F32" s="295"/>
      <c r="G32" s="351">
        <f>SUM(G33:G35)</f>
        <v>13446.677766785651</v>
      </c>
      <c r="H32" s="345">
        <f>SUM(H33:H35)</f>
        <v>14813.149178497451</v>
      </c>
    </row>
    <row r="33" spans="1:10" ht="19.95" customHeight="1">
      <c r="A33" s="32" t="s">
        <v>653</v>
      </c>
      <c r="B33" s="45" t="str">
        <f>CONCATENATE(VLOOKUP(A33,'Planilha base'!$C$11:$K$35,9,FALSE)," - Sinalização")</f>
        <v>Engenheiro de projetos pleno - Sinalização</v>
      </c>
      <c r="C33" s="48" t="s">
        <v>107</v>
      </c>
      <c r="D33" s="180">
        <f>(J33*$H$1)/$M$2</f>
        <v>121.14360000000001</v>
      </c>
      <c r="E33" s="343">
        <f>VLOOKUP(A33,'Planilha base'!$C$11:$K$35,6,FALSE)/'Planilha base'!$H$38</f>
        <v>57.69094196942298</v>
      </c>
      <c r="F33" s="284">
        <f>VLOOKUP(A33,'Planilha base'!$C$11:$K$35,4,FALSE)</f>
        <v>0.87970000000000004</v>
      </c>
      <c r="G33" s="352">
        <f t="shared" ref="G33:G35" si="2">D33*E33*F33</f>
        <v>6148.1251233396806</v>
      </c>
      <c r="H33" s="353">
        <f>D33*E33</f>
        <v>6988.8883975669896</v>
      </c>
      <c r="J33" s="97">
        <v>48</v>
      </c>
    </row>
    <row r="34" spans="1:10" ht="19.95" customHeight="1">
      <c r="A34" s="32" t="s">
        <v>651</v>
      </c>
      <c r="B34" s="37" t="str">
        <f>VLOOKUP(A34,'Planilha base'!$C$11:$K$35,9,FALSE)</f>
        <v>Engenheiro de projetos júnior</v>
      </c>
      <c r="C34" s="48" t="s">
        <v>107</v>
      </c>
      <c r="D34" s="180">
        <f>(J34*$H$1)/$M$2</f>
        <v>121.14360000000001</v>
      </c>
      <c r="E34" s="343">
        <f>VLOOKUP(A34,'Planilha base'!$C$11:$K$35,6,FALSE)/'Planilha base'!$H$38</f>
        <v>51.235684147076547</v>
      </c>
      <c r="F34" s="284">
        <f>VLOOKUP(A34,'Planilha base'!$C$11:$K$35,4,FALSE)</f>
        <v>0.89</v>
      </c>
      <c r="G34" s="352">
        <f t="shared" si="2"/>
        <v>5524.1189511754064</v>
      </c>
      <c r="H34" s="353">
        <f>D34*E34</f>
        <v>6206.8752260397823</v>
      </c>
      <c r="J34" s="97">
        <v>48</v>
      </c>
    </row>
    <row r="35" spans="1:10" ht="19.95" customHeight="1">
      <c r="A35" s="32" t="s">
        <v>719</v>
      </c>
      <c r="B35" s="37" t="str">
        <f>VLOOKUP(A35,'Planilha base'!$C$11:$K$35,9,FALSE)</f>
        <v>Técnico de obras</v>
      </c>
      <c r="C35" s="48" t="s">
        <v>107</v>
      </c>
      <c r="D35" s="180">
        <f>(J35*$H$1)/$M$2</f>
        <v>121.14360000000001</v>
      </c>
      <c r="E35" s="343">
        <f>VLOOKUP(A35,'Planilha base'!$C$11:$K$35,6,FALSE)/'Planilha base'!$H$38</f>
        <v>13.350978135788262</v>
      </c>
      <c r="F35" s="284">
        <f>VLOOKUP(A35,'Planilha base'!$C$11:$K$35,4,FALSE)</f>
        <v>1.0971</v>
      </c>
      <c r="G35" s="352">
        <f t="shared" si="2"/>
        <v>1774.4336922705638</v>
      </c>
      <c r="H35" s="353">
        <f>D35*E35</f>
        <v>1617.385554890679</v>
      </c>
      <c r="J35" s="97">
        <v>48</v>
      </c>
    </row>
    <row r="36" spans="1:10" ht="19.95" customHeight="1">
      <c r="A36" s="107"/>
      <c r="B36" s="45"/>
      <c r="C36" s="48"/>
      <c r="D36" s="29"/>
      <c r="E36" s="47"/>
      <c r="F36" s="255"/>
      <c r="G36" s="352"/>
      <c r="H36" s="353"/>
    </row>
    <row r="37" spans="1:10" ht="19.95" customHeight="1">
      <c r="A37" s="105">
        <v>2</v>
      </c>
      <c r="B37" s="35" t="s">
        <v>334</v>
      </c>
      <c r="C37" s="181"/>
      <c r="D37" s="40"/>
      <c r="E37" s="39"/>
      <c r="F37" s="295"/>
      <c r="G37" s="351"/>
      <c r="H37" s="354">
        <f>SUM(H38)</f>
        <v>3227.27223715133</v>
      </c>
    </row>
    <row r="38" spans="1:10" ht="19.95" customHeight="1">
      <c r="A38" s="32" t="s">
        <v>335</v>
      </c>
      <c r="B38" s="45" t="s">
        <v>334</v>
      </c>
      <c r="C38" s="47" t="s">
        <v>52</v>
      </c>
      <c r="D38" s="29">
        <f>H32+G32</f>
        <v>28259.826945283101</v>
      </c>
      <c r="E38" s="206">
        <f>'Planilha base'!$H$39</f>
        <v>0.1142</v>
      </c>
      <c r="F38" s="281"/>
      <c r="G38" s="352"/>
      <c r="H38" s="353">
        <f>D38*E38</f>
        <v>3227.27223715133</v>
      </c>
    </row>
    <row r="39" spans="1:10" ht="19.95" customHeight="1">
      <c r="A39" s="32"/>
      <c r="B39" s="45"/>
      <c r="C39" s="47"/>
      <c r="D39" s="29"/>
      <c r="E39" s="206"/>
      <c r="F39" s="281"/>
      <c r="G39" s="352"/>
      <c r="H39" s="353"/>
    </row>
    <row r="40" spans="1:10" ht="19.95" customHeight="1">
      <c r="A40" s="23">
        <v>3</v>
      </c>
      <c r="B40" s="317" t="s">
        <v>275</v>
      </c>
      <c r="C40" s="47"/>
      <c r="D40" s="29"/>
      <c r="E40" s="206"/>
      <c r="F40" s="281"/>
      <c r="G40" s="352"/>
      <c r="H40" s="354">
        <f>SUM(H41)</f>
        <v>67379.313172500013</v>
      </c>
    </row>
    <row r="41" spans="1:10" ht="19.95" customHeight="1">
      <c r="A41" s="32" t="s">
        <v>442</v>
      </c>
      <c r="B41" s="314" t="s">
        <v>288</v>
      </c>
      <c r="C41" s="315" t="s">
        <v>289</v>
      </c>
      <c r="D41" s="316">
        <f>0.45*$H$1</f>
        <v>454.2885</v>
      </c>
      <c r="E41" s="318">
        <f>'Mapa de Preços'!I24/2</f>
        <v>148.31833333333336</v>
      </c>
      <c r="F41" s="281"/>
      <c r="G41" s="352"/>
      <c r="H41" s="353">
        <f>D41*E41</f>
        <v>67379.313172500013</v>
      </c>
    </row>
    <row r="42" spans="1:10" ht="19.95" customHeight="1">
      <c r="A42" s="32"/>
      <c r="B42" s="45"/>
      <c r="C42" s="47"/>
      <c r="D42" s="29"/>
      <c r="E42" s="206"/>
      <c r="F42" s="281"/>
      <c r="G42" s="352"/>
      <c r="H42" s="353"/>
    </row>
    <row r="43" spans="1:10" ht="19.95" customHeight="1">
      <c r="A43" s="105">
        <v>4</v>
      </c>
      <c r="B43" s="30" t="s">
        <v>109</v>
      </c>
      <c r="C43" s="181"/>
      <c r="D43" s="40"/>
      <c r="E43" s="39"/>
      <c r="F43" s="295"/>
      <c r="G43" s="351"/>
      <c r="H43" s="354">
        <f>SUM(H44:H45)</f>
        <v>32181.017221531161</v>
      </c>
    </row>
    <row r="44" spans="1:10" s="116" customFormat="1" ht="19.95" customHeight="1">
      <c r="A44" s="32" t="s">
        <v>336</v>
      </c>
      <c r="B44" s="45" t="s">
        <v>67</v>
      </c>
      <c r="C44" s="47" t="s">
        <v>52</v>
      </c>
      <c r="D44" s="29">
        <f>H32+G32+H37+H40</f>
        <v>98866.412354934437</v>
      </c>
      <c r="E44" s="206">
        <f>'Planilha base'!$H$40</f>
        <v>0.12</v>
      </c>
      <c r="F44" s="281"/>
      <c r="G44" s="352"/>
      <c r="H44" s="353">
        <f>D44*E44</f>
        <v>11863.969482592132</v>
      </c>
    </row>
    <row r="45" spans="1:10" s="116" customFormat="1" ht="19.95" customHeight="1">
      <c r="A45" s="32" t="s">
        <v>108</v>
      </c>
      <c r="B45" s="37" t="s">
        <v>68</v>
      </c>
      <c r="C45" s="47" t="s">
        <v>52</v>
      </c>
      <c r="D45" s="29">
        <f>H32+G32+H37+H40</f>
        <v>98866.412354934437</v>
      </c>
      <c r="E45" s="206">
        <f>'Planilha base'!$H$41</f>
        <v>0.20550000000000002</v>
      </c>
      <c r="F45" s="281"/>
      <c r="G45" s="352"/>
      <c r="H45" s="346">
        <f>D45*E45</f>
        <v>20317.047738939029</v>
      </c>
    </row>
    <row r="46" spans="1:10" s="116" customFormat="1" ht="19.95" customHeight="1">
      <c r="A46" s="32"/>
      <c r="B46" s="37"/>
      <c r="C46" s="47"/>
      <c r="D46" s="111"/>
      <c r="E46" s="206"/>
      <c r="F46" s="281"/>
      <c r="G46" s="352"/>
      <c r="H46" s="345">
        <f>H43+H40+H37+H32+G32</f>
        <v>131047.4295764656</v>
      </c>
    </row>
    <row r="47" spans="1:10" s="116" customFormat="1" ht="19.95" customHeight="1">
      <c r="A47" s="32"/>
      <c r="B47" s="37"/>
      <c r="C47" s="47"/>
      <c r="D47" s="111"/>
      <c r="E47" s="206"/>
      <c r="F47" s="281"/>
      <c r="G47" s="352"/>
      <c r="H47" s="346"/>
    </row>
    <row r="48" spans="1:10" s="116" customFormat="1" ht="19.95" customHeight="1">
      <c r="A48" s="117" t="s">
        <v>110</v>
      </c>
      <c r="B48" s="118" t="s">
        <v>19</v>
      </c>
      <c r="C48" s="119" t="s">
        <v>107</v>
      </c>
      <c r="D48" s="120">
        <f>SUM(D33:D35)</f>
        <v>363.43080000000003</v>
      </c>
      <c r="E48" s="349">
        <f>'Custo Gerencial LOTE 04'!$I$66</f>
        <v>79.3</v>
      </c>
      <c r="F48" s="296"/>
      <c r="G48" s="355"/>
      <c r="H48" s="347">
        <f>D48*E48</f>
        <v>28820.062440000002</v>
      </c>
    </row>
    <row r="49" spans="1:10" s="116" customFormat="1" ht="19.95" customHeight="1">
      <c r="A49" s="32"/>
      <c r="B49" s="37"/>
      <c r="C49" s="47"/>
      <c r="D49" s="111"/>
      <c r="E49" s="115"/>
      <c r="F49" s="254"/>
      <c r="G49" s="356"/>
      <c r="H49" s="346"/>
    </row>
    <row r="50" spans="1:10" s="116" customFormat="1" ht="19.95" customHeight="1" thickBot="1">
      <c r="A50" s="121"/>
      <c r="B50" s="122" t="s">
        <v>111</v>
      </c>
      <c r="C50" s="123" t="s">
        <v>57</v>
      </c>
      <c r="D50" s="124">
        <v>1</v>
      </c>
      <c r="E50" s="350">
        <f>H31</f>
        <v>159867.49201646561</v>
      </c>
      <c r="F50" s="297"/>
      <c r="G50" s="357"/>
      <c r="H50" s="348">
        <f>E50*D50</f>
        <v>159867.49201646561</v>
      </c>
    </row>
    <row r="51" spans="1:10" ht="19.95" customHeight="1" thickBot="1">
      <c r="A51" s="126"/>
      <c r="B51" s="126"/>
      <c r="C51" s="126"/>
      <c r="D51" s="126"/>
      <c r="E51" s="126"/>
      <c r="F51" s="126"/>
      <c r="G51" s="126"/>
      <c r="H51" s="126"/>
    </row>
    <row r="52" spans="1:10" ht="19.95" customHeight="1">
      <c r="A52" s="144" t="s">
        <v>79</v>
      </c>
      <c r="B52" s="535" t="s">
        <v>80</v>
      </c>
      <c r="C52" s="535"/>
      <c r="D52" s="535"/>
      <c r="E52" s="535"/>
      <c r="F52" s="536"/>
      <c r="G52" s="536"/>
      <c r="H52" s="537"/>
    </row>
    <row r="53" spans="1:10" ht="19.95" customHeight="1">
      <c r="A53" s="102" t="s">
        <v>12</v>
      </c>
      <c r="B53" s="103" t="s">
        <v>14</v>
      </c>
      <c r="C53" s="103" t="s">
        <v>15</v>
      </c>
      <c r="D53" s="103" t="s">
        <v>16</v>
      </c>
      <c r="E53" s="103" t="s">
        <v>97</v>
      </c>
      <c r="F53" s="294" t="s">
        <v>255</v>
      </c>
      <c r="G53" s="294" t="s">
        <v>257</v>
      </c>
      <c r="H53" s="104" t="s">
        <v>98</v>
      </c>
    </row>
    <row r="54" spans="1:10" ht="19.95" customHeight="1">
      <c r="A54" s="105"/>
      <c r="B54" s="35" t="str">
        <f>B52</f>
        <v>Relatório de Apoio na Análise da Monitoração da Sinalização Vertical</v>
      </c>
      <c r="C54" s="36"/>
      <c r="D54" s="106"/>
      <c r="E54" s="39"/>
      <c r="F54" s="295"/>
      <c r="G54" s="351"/>
      <c r="H54" s="345">
        <f>H69+H71</f>
        <v>113354.66424416708</v>
      </c>
    </row>
    <row r="55" spans="1:10" ht="19.95" customHeight="1">
      <c r="A55" s="105">
        <v>1</v>
      </c>
      <c r="B55" s="35" t="s">
        <v>106</v>
      </c>
      <c r="C55" s="36"/>
      <c r="D55" s="106"/>
      <c r="E55" s="39"/>
      <c r="F55" s="295"/>
      <c r="G55" s="351">
        <f>SUM(G56:G58)</f>
        <v>10255.893188375472</v>
      </c>
      <c r="H55" s="345">
        <f>SUM(H56:H58)</f>
        <v>11298.112321349825</v>
      </c>
    </row>
    <row r="56" spans="1:10" ht="19.95" customHeight="1">
      <c r="A56" s="32" t="s">
        <v>653</v>
      </c>
      <c r="B56" s="45" t="str">
        <f>CONCATENATE(VLOOKUP(A56,'Planilha base'!$C$11:$K$35,9,FALSE)," - Sinalização")</f>
        <v>Engenheiro de projetos pleno - Sinalização</v>
      </c>
      <c r="C56" s="48" t="s">
        <v>107</v>
      </c>
      <c r="D56" s="180">
        <f>(J56*$H$1)/$M$2</f>
        <v>92.397233249999985</v>
      </c>
      <c r="E56" s="343">
        <f>VLOOKUP(A56,'Planilha base'!$C$11:$K$35,6,FALSE)/'Planilha base'!$H$38</f>
        <v>57.69094196942298</v>
      </c>
      <c r="F56" s="284">
        <f>VLOOKUP(A56,'Planilha base'!$C$11:$K$35,4,FALSE)</f>
        <v>0.87970000000000004</v>
      </c>
      <c r="G56" s="352">
        <f t="shared" ref="G56:G58" si="3">D56*E56*F56</f>
        <v>4689.2262659472026</v>
      </c>
      <c r="H56" s="346">
        <f>D56*E56</f>
        <v>5330.483421560989</v>
      </c>
      <c r="J56" s="128">
        <v>36.61</v>
      </c>
    </row>
    <row r="57" spans="1:10" ht="19.95" customHeight="1">
      <c r="A57" s="32" t="s">
        <v>651</v>
      </c>
      <c r="B57" s="37" t="str">
        <f>VLOOKUP(A57,'Planilha base'!$C$11:$K$35,9,FALSE)</f>
        <v>Engenheiro de projetos júnior</v>
      </c>
      <c r="C57" s="48" t="s">
        <v>107</v>
      </c>
      <c r="D57" s="180">
        <f>(J57*$H$1)/$M$2</f>
        <v>92.397233249999985</v>
      </c>
      <c r="E57" s="343">
        <f>VLOOKUP(A57,'Planilha base'!$C$11:$K$35,6,FALSE)/'Planilha base'!$H$38</f>
        <v>51.235684147076547</v>
      </c>
      <c r="F57" s="284">
        <f>VLOOKUP(A57,'Planilha base'!$C$11:$K$35,4,FALSE)</f>
        <v>0.89</v>
      </c>
      <c r="G57" s="352">
        <f t="shared" si="3"/>
        <v>4213.2915583860749</v>
      </c>
      <c r="H57" s="346">
        <f>D57*E57</f>
        <v>4734.0354588607579</v>
      </c>
      <c r="J57" s="128">
        <v>36.61</v>
      </c>
    </row>
    <row r="58" spans="1:10" ht="19.95" customHeight="1">
      <c r="A58" s="32" t="s">
        <v>719</v>
      </c>
      <c r="B58" s="37" t="str">
        <f>VLOOKUP(A58,'Planilha base'!$C$11:$K$35,9,FALSE)</f>
        <v>Técnico de obras</v>
      </c>
      <c r="C58" s="48" t="s">
        <v>107</v>
      </c>
      <c r="D58" s="180">
        <f>(J58*$H$1)/$M$2</f>
        <v>92.397233249999985</v>
      </c>
      <c r="E58" s="343">
        <f>VLOOKUP(A58,'Planilha base'!$C$11:$K$35,6,FALSE)/'Planilha base'!$H$38</f>
        <v>13.350978135788262</v>
      </c>
      <c r="F58" s="284">
        <f>VLOOKUP(A58,'Planilha base'!$C$11:$K$35,4,FALSE)</f>
        <v>1.0971</v>
      </c>
      <c r="G58" s="352">
        <f t="shared" si="3"/>
        <v>1353.3753640421944</v>
      </c>
      <c r="H58" s="346">
        <f>D58*E58</f>
        <v>1233.5934409280781</v>
      </c>
      <c r="J58" s="128">
        <v>36.61</v>
      </c>
    </row>
    <row r="59" spans="1:10" ht="19.95" customHeight="1">
      <c r="A59" s="107"/>
      <c r="B59" s="45"/>
      <c r="C59" s="48"/>
      <c r="D59" s="29"/>
      <c r="E59" s="47"/>
      <c r="F59" s="255"/>
      <c r="G59" s="352"/>
      <c r="H59" s="346"/>
    </row>
    <row r="60" spans="1:10" ht="19.95" customHeight="1">
      <c r="A60" s="105">
        <v>2</v>
      </c>
      <c r="B60" s="35" t="s">
        <v>334</v>
      </c>
      <c r="C60" s="181"/>
      <c r="D60" s="40"/>
      <c r="E60" s="39"/>
      <c r="F60" s="295"/>
      <c r="G60" s="351"/>
      <c r="H60" s="345">
        <f>SUM(H61)</f>
        <v>2461.4674292106292</v>
      </c>
    </row>
    <row r="61" spans="1:10" ht="19.95" customHeight="1">
      <c r="A61" s="32" t="s">
        <v>335</v>
      </c>
      <c r="B61" s="45" t="s">
        <v>334</v>
      </c>
      <c r="C61" s="47" t="s">
        <v>52</v>
      </c>
      <c r="D61" s="29">
        <f>H55+G55</f>
        <v>21554.005509725299</v>
      </c>
      <c r="E61" s="206">
        <f>'Planilha base'!$H$39</f>
        <v>0.1142</v>
      </c>
      <c r="F61" s="281"/>
      <c r="G61" s="352"/>
      <c r="H61" s="346">
        <f>D61*E61</f>
        <v>2461.4674292106292</v>
      </c>
    </row>
    <row r="62" spans="1:10" ht="19.95" customHeight="1">
      <c r="A62" s="32"/>
      <c r="B62" s="45"/>
      <c r="C62" s="47"/>
      <c r="D62" s="29"/>
      <c r="E62" s="206"/>
      <c r="F62" s="281"/>
      <c r="G62" s="352"/>
      <c r="H62" s="353"/>
    </row>
    <row r="63" spans="1:10" ht="19.95" customHeight="1">
      <c r="A63" s="23">
        <v>3</v>
      </c>
      <c r="B63" s="317" t="s">
        <v>275</v>
      </c>
      <c r="C63" s="47"/>
      <c r="D63" s="29"/>
      <c r="E63" s="206"/>
      <c r="F63" s="281"/>
      <c r="G63" s="352"/>
      <c r="H63" s="345">
        <f>SUM(H64)</f>
        <v>44919.542115000004</v>
      </c>
    </row>
    <row r="64" spans="1:10" ht="19.95" customHeight="1">
      <c r="A64" s="32" t="s">
        <v>442</v>
      </c>
      <c r="B64" s="314" t="s">
        <v>337</v>
      </c>
      <c r="C64" s="315" t="s">
        <v>289</v>
      </c>
      <c r="D64" s="316">
        <f>0.3*$H$1</f>
        <v>302.85899999999998</v>
      </c>
      <c r="E64" s="343">
        <f>'Mapa de Preços'!I24/2</f>
        <v>148.31833333333336</v>
      </c>
      <c r="F64" s="281"/>
      <c r="G64" s="352"/>
      <c r="H64" s="346">
        <f>D64*E64</f>
        <v>44919.542115000004</v>
      </c>
    </row>
    <row r="65" spans="1:10" ht="19.95" customHeight="1">
      <c r="A65" s="107"/>
      <c r="B65" s="45"/>
      <c r="C65" s="48"/>
      <c r="D65" s="29"/>
      <c r="E65" s="47"/>
      <c r="F65" s="255"/>
      <c r="G65" s="352"/>
      <c r="H65" s="346"/>
    </row>
    <row r="66" spans="1:10" ht="19.95" customHeight="1">
      <c r="A66" s="105">
        <v>4</v>
      </c>
      <c r="B66" s="30" t="s">
        <v>109</v>
      </c>
      <c r="C66" s="181"/>
      <c r="D66" s="40"/>
      <c r="E66" s="39"/>
      <c r="F66" s="295"/>
      <c r="G66" s="351"/>
      <c r="H66" s="345">
        <f>SUM(H67:H68)</f>
        <v>22438.347400056147</v>
      </c>
    </row>
    <row r="67" spans="1:10" s="116" customFormat="1" ht="19.95" customHeight="1">
      <c r="A67" s="32" t="s">
        <v>336</v>
      </c>
      <c r="B67" s="45" t="s">
        <v>67</v>
      </c>
      <c r="C67" s="47" t="s">
        <v>52</v>
      </c>
      <c r="D67" s="29">
        <f>H63+H55+H60+G55</f>
        <v>68935.015053935931</v>
      </c>
      <c r="E67" s="206">
        <f>'Planilha base'!$H$40</f>
        <v>0.12</v>
      </c>
      <c r="F67" s="281"/>
      <c r="G67" s="352"/>
      <c r="H67" s="346">
        <f>D67*E67</f>
        <v>8272.2018064723106</v>
      </c>
    </row>
    <row r="68" spans="1:10" s="116" customFormat="1" ht="19.95" customHeight="1">
      <c r="A68" s="32" t="s">
        <v>108</v>
      </c>
      <c r="B68" s="37" t="s">
        <v>68</v>
      </c>
      <c r="C68" s="47" t="s">
        <v>52</v>
      </c>
      <c r="D68" s="111">
        <f>H63+H55+H60+G55</f>
        <v>68935.015053935931</v>
      </c>
      <c r="E68" s="206">
        <f>'Planilha base'!$H$41</f>
        <v>0.20550000000000002</v>
      </c>
      <c r="F68" s="281"/>
      <c r="G68" s="352"/>
      <c r="H68" s="346">
        <f>D68*E68</f>
        <v>14166.145593583835</v>
      </c>
    </row>
    <row r="69" spans="1:10" s="116" customFormat="1" ht="19.95" customHeight="1">
      <c r="A69" s="32"/>
      <c r="B69" s="37"/>
      <c r="C69" s="47"/>
      <c r="D69" s="111"/>
      <c r="E69" s="206"/>
      <c r="F69" s="281"/>
      <c r="G69" s="352"/>
      <c r="H69" s="345">
        <f>H66+H63+H60+H55+G55</f>
        <v>91373.362453992086</v>
      </c>
    </row>
    <row r="70" spans="1:10" s="116" customFormat="1" ht="19.95" customHeight="1">
      <c r="A70" s="32"/>
      <c r="B70" s="37"/>
      <c r="C70" s="47"/>
      <c r="D70" s="111"/>
      <c r="E70" s="206"/>
      <c r="F70" s="281"/>
      <c r="G70" s="352"/>
      <c r="H70" s="346"/>
    </row>
    <row r="71" spans="1:10" s="116" customFormat="1" ht="19.95" customHeight="1">
      <c r="A71" s="117" t="s">
        <v>110</v>
      </c>
      <c r="B71" s="118" t="s">
        <v>19</v>
      </c>
      <c r="C71" s="119" t="s">
        <v>107</v>
      </c>
      <c r="D71" s="120">
        <f>SUM(D56:D58)</f>
        <v>277.19169974999994</v>
      </c>
      <c r="E71" s="349">
        <f>'Custo Gerencial LOTE 04'!$I$66</f>
        <v>79.3</v>
      </c>
      <c r="F71" s="296"/>
      <c r="G71" s="355"/>
      <c r="H71" s="347">
        <f>D71*E71</f>
        <v>21981.301790174995</v>
      </c>
    </row>
    <row r="72" spans="1:10" s="116" customFormat="1" ht="19.95" customHeight="1">
      <c r="A72" s="32"/>
      <c r="B72" s="37"/>
      <c r="C72" s="47"/>
      <c r="D72" s="111"/>
      <c r="E72" s="344"/>
      <c r="F72" s="254"/>
      <c r="G72" s="356"/>
      <c r="H72" s="346"/>
    </row>
    <row r="73" spans="1:10" s="116" customFormat="1" ht="19.95" customHeight="1" thickBot="1">
      <c r="A73" s="121"/>
      <c r="B73" s="122" t="s">
        <v>111</v>
      </c>
      <c r="C73" s="123" t="s">
        <v>57</v>
      </c>
      <c r="D73" s="124">
        <v>1</v>
      </c>
      <c r="E73" s="350">
        <f>H54</f>
        <v>113354.66424416708</v>
      </c>
      <c r="F73" s="297"/>
      <c r="G73" s="357"/>
      <c r="H73" s="348">
        <f>E73*D73</f>
        <v>113354.66424416708</v>
      </c>
    </row>
    <row r="74" spans="1:10" ht="19.95" customHeight="1" thickBot="1">
      <c r="A74" s="126"/>
      <c r="B74" s="126"/>
      <c r="C74" s="126"/>
      <c r="D74" s="126"/>
      <c r="E74" s="126"/>
      <c r="F74" s="126"/>
      <c r="G74" s="126"/>
      <c r="H74" s="126"/>
    </row>
    <row r="75" spans="1:10" ht="19.5" customHeight="1">
      <c r="A75" s="144" t="s">
        <v>81</v>
      </c>
      <c r="B75" s="535" t="s">
        <v>82</v>
      </c>
      <c r="C75" s="535"/>
      <c r="D75" s="535"/>
      <c r="E75" s="535"/>
      <c r="F75" s="536"/>
      <c r="G75" s="536"/>
      <c r="H75" s="537"/>
    </row>
    <row r="76" spans="1:10" ht="19.95" customHeight="1">
      <c r="A76" s="102" t="s">
        <v>12</v>
      </c>
      <c r="B76" s="103" t="s">
        <v>14</v>
      </c>
      <c r="C76" s="103" t="s">
        <v>15</v>
      </c>
      <c r="D76" s="103" t="s">
        <v>16</v>
      </c>
      <c r="E76" s="103" t="s">
        <v>97</v>
      </c>
      <c r="F76" s="294" t="s">
        <v>255</v>
      </c>
      <c r="G76" s="294" t="s">
        <v>257</v>
      </c>
      <c r="H76" s="104" t="s">
        <v>98</v>
      </c>
    </row>
    <row r="77" spans="1:10" ht="19.95" customHeight="1">
      <c r="A77" s="105"/>
      <c r="B77" s="35" t="str">
        <f>B75</f>
        <v>Relatório de Apoio na Análise da Monitoração das Obras de Arte Especial</v>
      </c>
      <c r="C77" s="36"/>
      <c r="D77" s="106"/>
      <c r="E77" s="39"/>
      <c r="F77" s="295"/>
      <c r="G77" s="351"/>
      <c r="H77" s="345">
        <f>H91+H89</f>
        <v>78593.870357079519</v>
      </c>
    </row>
    <row r="78" spans="1:10" ht="19.95" customHeight="1">
      <c r="A78" s="105">
        <v>1</v>
      </c>
      <c r="B78" s="35" t="s">
        <v>106</v>
      </c>
      <c r="C78" s="36"/>
      <c r="D78" s="106"/>
      <c r="E78" s="39"/>
      <c r="F78" s="295"/>
      <c r="G78" s="351">
        <f>SUM(G79:G81)</f>
        <v>16460.30254077764</v>
      </c>
      <c r="H78" s="345">
        <f>SUM(H79:H81)</f>
        <v>18693.249389043849</v>
      </c>
    </row>
    <row r="79" spans="1:10" ht="19.95" customHeight="1">
      <c r="A79" s="32" t="s">
        <v>655</v>
      </c>
      <c r="B79" s="37" t="str">
        <f>CONCATENATE(VLOOKUP(A79,'Planilha base'!$C$11:$K$35,9,FALSE)," - Obra de Arte Especial")</f>
        <v>Engenheiro de projetos sênior - Obra de Arte Especial</v>
      </c>
      <c r="C79" s="36" t="s">
        <v>107</v>
      </c>
      <c r="D79" s="179">
        <f>(J79*$H$1)/$M$2</f>
        <v>150.14234925</v>
      </c>
      <c r="E79" s="343">
        <f>VLOOKUP(A79,'Planilha base'!$C$11:$K$35,6,FALSE)/'Planilha base'!$H$38</f>
        <v>76.099786289659704</v>
      </c>
      <c r="F79" s="284">
        <f>VLOOKUP(A79,'Planilha base'!$C$11:$K$35,4,FALSE)</f>
        <v>0.86</v>
      </c>
      <c r="G79" s="352">
        <f t="shared" ref="G79:G81" si="4">D79*E79*F79</f>
        <v>9826.1885942191057</v>
      </c>
      <c r="H79" s="346">
        <f>D79*E79</f>
        <v>11425.800690952448</v>
      </c>
      <c r="J79" s="128">
        <v>59.49</v>
      </c>
    </row>
    <row r="80" spans="1:10" ht="19.95" customHeight="1">
      <c r="A80" s="32" t="s">
        <v>651</v>
      </c>
      <c r="B80" s="37" t="str">
        <f>VLOOKUP(A80,'Planilha base'!$C$11:$K$35,9,FALSE)</f>
        <v>Engenheiro de projetos júnior</v>
      </c>
      <c r="C80" s="36" t="s">
        <v>107</v>
      </c>
      <c r="D80" s="179">
        <f>(J80*$H$1)/$M$2</f>
        <v>126.19125</v>
      </c>
      <c r="E80" s="343">
        <f>VLOOKUP(A80,'Planilha base'!$C$11:$K$35,6,FALSE)/'Planilha base'!$H$38</f>
        <v>51.235684147076547</v>
      </c>
      <c r="F80" s="284">
        <f>VLOOKUP(A80,'Planilha base'!$C$11:$K$35,4,FALSE)</f>
        <v>0.89</v>
      </c>
      <c r="G80" s="352">
        <f t="shared" si="4"/>
        <v>5754.2905741410486</v>
      </c>
      <c r="H80" s="346">
        <f>D80*E80</f>
        <v>6465.4950271247735</v>
      </c>
      <c r="J80" s="128">
        <v>50</v>
      </c>
    </row>
    <row r="81" spans="1:10" ht="19.95" customHeight="1">
      <c r="A81" s="32" t="s">
        <v>719</v>
      </c>
      <c r="B81" s="37" t="str">
        <f>VLOOKUP(A81,'Planilha base'!$C$11:$K$35,9,FALSE)</f>
        <v>Técnico de obras</v>
      </c>
      <c r="C81" s="36" t="s">
        <v>107</v>
      </c>
      <c r="D81" s="179">
        <f>(J81*$H$1)/$M$2</f>
        <v>60.067034999999997</v>
      </c>
      <c r="E81" s="343">
        <f>VLOOKUP(A81,'Planilha base'!$C$11:$K$35,6,FALSE)/'Planilha base'!$H$38</f>
        <v>13.350978135788262</v>
      </c>
      <c r="F81" s="284">
        <f>VLOOKUP(A81,'Planilha base'!$C$11:$K$35,4,FALSE)</f>
        <v>1.0971</v>
      </c>
      <c r="G81" s="352">
        <f t="shared" si="4"/>
        <v>879.8233724174878</v>
      </c>
      <c r="H81" s="346">
        <f>D81*E81</f>
        <v>801.95367096662824</v>
      </c>
      <c r="J81" s="128">
        <v>23.8</v>
      </c>
    </row>
    <row r="82" spans="1:10" ht="19.95" customHeight="1">
      <c r="A82" s="107"/>
      <c r="B82" s="37"/>
      <c r="C82" s="36"/>
      <c r="D82" s="111"/>
      <c r="E82" s="47"/>
      <c r="F82" s="255"/>
      <c r="G82" s="352"/>
      <c r="H82" s="346"/>
    </row>
    <row r="83" spans="1:10" ht="19.95" customHeight="1">
      <c r="A83" s="105">
        <v>2</v>
      </c>
      <c r="B83" s="35" t="s">
        <v>334</v>
      </c>
      <c r="C83" s="113"/>
      <c r="D83" s="106"/>
      <c r="E83" s="39"/>
      <c r="F83" s="295"/>
      <c r="G83" s="351"/>
      <c r="H83" s="345">
        <f>SUM(H84)</f>
        <v>4014.5356303856142</v>
      </c>
    </row>
    <row r="84" spans="1:10" s="116" customFormat="1" ht="19.95" customHeight="1">
      <c r="A84" s="32" t="s">
        <v>335</v>
      </c>
      <c r="B84" s="45" t="s">
        <v>334</v>
      </c>
      <c r="C84" s="47" t="s">
        <v>52</v>
      </c>
      <c r="D84" s="111">
        <f>H78+G78</f>
        <v>35153.551929821493</v>
      </c>
      <c r="E84" s="206">
        <f>'Planilha base'!$H$39</f>
        <v>0.1142</v>
      </c>
      <c r="F84" s="281"/>
      <c r="G84" s="352"/>
      <c r="H84" s="346">
        <f>D84*E84</f>
        <v>4014.5356303856142</v>
      </c>
    </row>
    <row r="85" spans="1:10" s="116" customFormat="1" ht="19.95" customHeight="1">
      <c r="A85" s="32"/>
      <c r="B85" s="37"/>
      <c r="C85" s="47"/>
      <c r="D85" s="111"/>
      <c r="E85" s="206"/>
      <c r="F85" s="281"/>
      <c r="G85" s="352"/>
      <c r="H85" s="346"/>
    </row>
    <row r="86" spans="1:10" ht="19.95" customHeight="1">
      <c r="A86" s="105">
        <v>3</v>
      </c>
      <c r="B86" s="35" t="s">
        <v>109</v>
      </c>
      <c r="C86" s="113"/>
      <c r="D86" s="106"/>
      <c r="E86" s="39"/>
      <c r="F86" s="295"/>
      <c r="G86" s="351"/>
      <c r="H86" s="345">
        <f>SUM(H87:H88)</f>
        <v>12749.212500847412</v>
      </c>
    </row>
    <row r="87" spans="1:10" s="116" customFormat="1" ht="19.95" customHeight="1">
      <c r="A87" s="32" t="s">
        <v>336</v>
      </c>
      <c r="B87" s="37" t="s">
        <v>67</v>
      </c>
      <c r="C87" s="47" t="s">
        <v>52</v>
      </c>
      <c r="D87" s="111">
        <f>H78+H83+G78</f>
        <v>39168.087560207103</v>
      </c>
      <c r="E87" s="206">
        <f>'Planilha base'!$H$40</f>
        <v>0.12</v>
      </c>
      <c r="F87" s="281"/>
      <c r="G87" s="352"/>
      <c r="H87" s="346">
        <f>D87*E87</f>
        <v>4700.1705072248524</v>
      </c>
    </row>
    <row r="88" spans="1:10" s="116" customFormat="1" ht="19.95" customHeight="1">
      <c r="A88" s="32" t="s">
        <v>108</v>
      </c>
      <c r="B88" s="37" t="s">
        <v>68</v>
      </c>
      <c r="C88" s="47" t="s">
        <v>52</v>
      </c>
      <c r="D88" s="111">
        <f>H78+H83+G78</f>
        <v>39168.087560207103</v>
      </c>
      <c r="E88" s="206">
        <f>'Planilha base'!$H$41</f>
        <v>0.20550000000000002</v>
      </c>
      <c r="F88" s="281"/>
      <c r="G88" s="352"/>
      <c r="H88" s="346">
        <f>D88*E88</f>
        <v>8049.0419936225599</v>
      </c>
    </row>
    <row r="89" spans="1:10" s="116" customFormat="1" ht="19.95" customHeight="1">
      <c r="A89" s="32"/>
      <c r="B89" s="37"/>
      <c r="C89" s="47"/>
      <c r="D89" s="111"/>
      <c r="E89" s="115"/>
      <c r="F89" s="254"/>
      <c r="G89" s="356"/>
      <c r="H89" s="345">
        <f>H86+H83+H78+G78</f>
        <v>51917.300061054513</v>
      </c>
    </row>
    <row r="90" spans="1:10" s="116" customFormat="1" ht="19.95" customHeight="1">
      <c r="A90" s="32"/>
      <c r="B90" s="37"/>
      <c r="C90" s="47"/>
      <c r="D90" s="111"/>
      <c r="E90" s="115"/>
      <c r="F90" s="254"/>
      <c r="G90" s="356"/>
      <c r="H90" s="346"/>
    </row>
    <row r="91" spans="1:10" s="116" customFormat="1" ht="19.95" customHeight="1">
      <c r="A91" s="117" t="s">
        <v>110</v>
      </c>
      <c r="B91" s="118" t="s">
        <v>19</v>
      </c>
      <c r="C91" s="119" t="s">
        <v>107</v>
      </c>
      <c r="D91" s="120">
        <f>SUM(D79:D81)</f>
        <v>336.40063425</v>
      </c>
      <c r="E91" s="349">
        <f>'Custo Gerencial LOTE 04'!$I$66</f>
        <v>79.3</v>
      </c>
      <c r="F91" s="296"/>
      <c r="G91" s="355"/>
      <c r="H91" s="347">
        <f>D91*E91</f>
        <v>26676.570296024998</v>
      </c>
    </row>
    <row r="92" spans="1:10" s="116" customFormat="1" ht="19.95" customHeight="1">
      <c r="A92" s="32"/>
      <c r="B92" s="37"/>
      <c r="C92" s="47"/>
      <c r="D92" s="111"/>
      <c r="E92" s="344"/>
      <c r="F92" s="254"/>
      <c r="G92" s="356"/>
      <c r="H92" s="346"/>
    </row>
    <row r="93" spans="1:10" s="116" customFormat="1" ht="19.95" customHeight="1" thickBot="1">
      <c r="A93" s="121"/>
      <c r="B93" s="122" t="s">
        <v>111</v>
      </c>
      <c r="C93" s="123" t="s">
        <v>57</v>
      </c>
      <c r="D93" s="124">
        <v>1</v>
      </c>
      <c r="E93" s="350">
        <f>H77</f>
        <v>78593.870357079519</v>
      </c>
      <c r="F93" s="297"/>
      <c r="G93" s="357"/>
      <c r="H93" s="348">
        <f>E93*D93</f>
        <v>78593.870357079519</v>
      </c>
    </row>
    <row r="94" spans="1:10" ht="19.95" customHeight="1" thickBot="1">
      <c r="A94" s="126"/>
      <c r="B94" s="126"/>
      <c r="C94" s="126"/>
      <c r="D94" s="126"/>
      <c r="E94" s="126"/>
      <c r="F94" s="126"/>
      <c r="G94" s="126"/>
      <c r="H94" s="126"/>
    </row>
    <row r="95" spans="1:10" ht="19.95" customHeight="1">
      <c r="A95" s="144" t="s">
        <v>83</v>
      </c>
      <c r="B95" s="535" t="s">
        <v>84</v>
      </c>
      <c r="C95" s="535"/>
      <c r="D95" s="535"/>
      <c r="E95" s="535"/>
      <c r="F95" s="536"/>
      <c r="G95" s="536"/>
      <c r="H95" s="537"/>
    </row>
    <row r="96" spans="1:10" ht="19.95" customHeight="1">
      <c r="A96" s="102" t="s">
        <v>12</v>
      </c>
      <c r="B96" s="103" t="s">
        <v>14</v>
      </c>
      <c r="C96" s="103" t="s">
        <v>15</v>
      </c>
      <c r="D96" s="103" t="s">
        <v>16</v>
      </c>
      <c r="E96" s="103" t="s">
        <v>97</v>
      </c>
      <c r="F96" s="294" t="s">
        <v>255</v>
      </c>
      <c r="G96" s="294" t="s">
        <v>257</v>
      </c>
      <c r="H96" s="104" t="s">
        <v>98</v>
      </c>
    </row>
    <row r="97" spans="1:10" ht="19.95" customHeight="1">
      <c r="A97" s="105"/>
      <c r="B97" s="35" t="str">
        <f>B95</f>
        <v>Relatório de Apoio na Análise da Monitoração dos Terraplenos e Estruturas de Contenção</v>
      </c>
      <c r="C97" s="36"/>
      <c r="D97" s="106"/>
      <c r="E97" s="39"/>
      <c r="F97" s="295"/>
      <c r="G97" s="351"/>
      <c r="H97" s="345">
        <f>H109+H111</f>
        <v>83918.524595793337</v>
      </c>
    </row>
    <row r="98" spans="1:10" ht="19.95" customHeight="1">
      <c r="A98" s="105">
        <v>1</v>
      </c>
      <c r="B98" s="35" t="s">
        <v>106</v>
      </c>
      <c r="C98" s="36"/>
      <c r="D98" s="106"/>
      <c r="E98" s="39"/>
      <c r="F98" s="295"/>
      <c r="G98" s="351">
        <f>SUM(G99:G101)</f>
        <v>17552.466891749609</v>
      </c>
      <c r="H98" s="345">
        <f>SUM(H99:H101)</f>
        <v>19920.400345192131</v>
      </c>
    </row>
    <row r="99" spans="1:10" ht="19.95" customHeight="1">
      <c r="A99" s="32" t="s">
        <v>655</v>
      </c>
      <c r="B99" s="37" t="str">
        <f>CONCATENATE(VLOOKUP(A99,'Planilha base'!$C$11:$K$35,9,FALSE)," - Infraestrutura ou Obra de Arte Especial")</f>
        <v>Engenheiro de projetos sênior - Infraestrutura ou Obra de Arte Especial</v>
      </c>
      <c r="C99" s="36" t="s">
        <v>107</v>
      </c>
      <c r="D99" s="179">
        <f>(J99*$H$1)/$M$2</f>
        <v>150.14234925</v>
      </c>
      <c r="E99" s="343">
        <f>VLOOKUP(A99,'Planilha base'!$C$11:$K$35,6,FALSE)/'Planilha base'!$H$38</f>
        <v>76.099786289659704</v>
      </c>
      <c r="F99" s="284">
        <f>VLOOKUP(A99,'Planilha base'!$C$11:$K$35,4,FALSE)</f>
        <v>0.86</v>
      </c>
      <c r="G99" s="352">
        <f t="shared" ref="G99:G101" si="5">D99*E99*F99</f>
        <v>9826.1885942191057</v>
      </c>
      <c r="H99" s="346">
        <f>D99*E99</f>
        <v>11425.800690952448</v>
      </c>
      <c r="J99" s="128">
        <v>59.49</v>
      </c>
    </row>
    <row r="100" spans="1:10" ht="19.95" customHeight="1">
      <c r="A100" s="32" t="s">
        <v>651</v>
      </c>
      <c r="B100" s="37" t="str">
        <f>VLOOKUP(A100,'Planilha base'!$C$11:$K$35,9,FALSE)</f>
        <v>Engenheiro de projetos júnior</v>
      </c>
      <c r="C100" s="36" t="s">
        <v>107</v>
      </c>
      <c r="D100" s="179">
        <f>(J100*$H$1)/$M$2</f>
        <v>150.14234925</v>
      </c>
      <c r="E100" s="343">
        <f>VLOOKUP(A100,'Planilha base'!$C$11:$K$35,6,FALSE)/'Planilha base'!$H$38</f>
        <v>51.235684147076547</v>
      </c>
      <c r="F100" s="284">
        <f>VLOOKUP(A100,'Planilha base'!$C$11:$K$35,4,FALSE)</f>
        <v>0.89</v>
      </c>
      <c r="G100" s="352">
        <f t="shared" si="5"/>
        <v>6846.4549251130193</v>
      </c>
      <c r="H100" s="346">
        <f>D100*E100</f>
        <v>7692.6459832730552</v>
      </c>
      <c r="J100" s="128">
        <v>59.49</v>
      </c>
    </row>
    <row r="101" spans="1:10" ht="19.95" customHeight="1">
      <c r="A101" s="32" t="s">
        <v>719</v>
      </c>
      <c r="B101" s="37" t="str">
        <f>VLOOKUP(A101,'Planilha base'!$C$11:$K$35,9,FALSE)</f>
        <v>Técnico de obras</v>
      </c>
      <c r="C101" s="36" t="s">
        <v>107</v>
      </c>
      <c r="D101" s="179">
        <f>(J101*$H$1)/$M$2</f>
        <v>60.067034999999997</v>
      </c>
      <c r="E101" s="343">
        <f>VLOOKUP(A101,'Planilha base'!$C$11:$K$35,6,FALSE)/'Planilha base'!$H$38</f>
        <v>13.350978135788262</v>
      </c>
      <c r="F101" s="284">
        <f>VLOOKUP(A101,'Planilha base'!$C$11:$K$35,4,FALSE)</f>
        <v>1.0971</v>
      </c>
      <c r="G101" s="352">
        <f t="shared" si="5"/>
        <v>879.8233724174878</v>
      </c>
      <c r="H101" s="346">
        <f>D101*E101</f>
        <v>801.95367096662824</v>
      </c>
      <c r="J101" s="128">
        <v>23.8</v>
      </c>
    </row>
    <row r="102" spans="1:10" ht="19.95" customHeight="1">
      <c r="A102" s="107"/>
      <c r="B102" s="37"/>
      <c r="C102" s="36"/>
      <c r="D102" s="111"/>
      <c r="E102" s="47"/>
      <c r="F102" s="255"/>
      <c r="G102" s="352"/>
      <c r="H102" s="346"/>
    </row>
    <row r="103" spans="1:10" ht="19.95" customHeight="1">
      <c r="A103" s="105">
        <v>2</v>
      </c>
      <c r="B103" s="35" t="s">
        <v>334</v>
      </c>
      <c r="C103" s="113"/>
      <c r="D103" s="106"/>
      <c r="E103" s="39"/>
      <c r="F103" s="295"/>
      <c r="G103" s="351"/>
      <c r="H103" s="345">
        <f>SUM(H104)</f>
        <v>4279.4014384587463</v>
      </c>
    </row>
    <row r="104" spans="1:10" s="116" customFormat="1" ht="19.95" customHeight="1">
      <c r="A104" s="32" t="s">
        <v>335</v>
      </c>
      <c r="B104" s="45" t="s">
        <v>334</v>
      </c>
      <c r="C104" s="47" t="s">
        <v>52</v>
      </c>
      <c r="D104" s="111">
        <f>H98+G98</f>
        <v>37472.86723694174</v>
      </c>
      <c r="E104" s="206">
        <f>'Planilha base'!$H$39</f>
        <v>0.1142</v>
      </c>
      <c r="F104" s="281"/>
      <c r="G104" s="352"/>
      <c r="H104" s="346">
        <f>D104*E104</f>
        <v>4279.4014384587463</v>
      </c>
    </row>
    <row r="105" spans="1:10" s="116" customFormat="1" ht="19.95" customHeight="1">
      <c r="A105" s="32"/>
      <c r="B105" s="37"/>
      <c r="C105" s="47"/>
      <c r="D105" s="111"/>
      <c r="E105" s="206"/>
      <c r="F105" s="281"/>
      <c r="G105" s="352"/>
      <c r="H105" s="346"/>
    </row>
    <row r="106" spans="1:10" ht="19.95" customHeight="1">
      <c r="A106" s="105">
        <v>3</v>
      </c>
      <c r="B106" s="35" t="s">
        <v>109</v>
      </c>
      <c r="C106" s="113"/>
      <c r="D106" s="106"/>
      <c r="E106" s="39"/>
      <c r="F106" s="295"/>
      <c r="G106" s="351"/>
      <c r="H106" s="345">
        <f>SUM(H107:H108)</f>
        <v>13590.363453842856</v>
      </c>
    </row>
    <row r="107" spans="1:10" s="116" customFormat="1" ht="19.95" customHeight="1">
      <c r="A107" s="32" t="s">
        <v>336</v>
      </c>
      <c r="B107" s="37" t="s">
        <v>67</v>
      </c>
      <c r="C107" s="47" t="s">
        <v>52</v>
      </c>
      <c r="D107" s="111">
        <f>H98+H103+G98</f>
        <v>41752.268675400483</v>
      </c>
      <c r="E107" s="206">
        <f>'Planilha base'!$H$40</f>
        <v>0.12</v>
      </c>
      <c r="F107" s="281"/>
      <c r="G107" s="352"/>
      <c r="H107" s="346">
        <f>D107*E107</f>
        <v>5010.2722410480574</v>
      </c>
    </row>
    <row r="108" spans="1:10" s="116" customFormat="1" ht="19.95" customHeight="1">
      <c r="A108" s="32" t="s">
        <v>108</v>
      </c>
      <c r="B108" s="37" t="s">
        <v>68</v>
      </c>
      <c r="C108" s="47" t="s">
        <v>52</v>
      </c>
      <c r="D108" s="111">
        <f>H98+H103+G98</f>
        <v>41752.268675400483</v>
      </c>
      <c r="E108" s="206">
        <f>'Planilha base'!$H$41</f>
        <v>0.20550000000000002</v>
      </c>
      <c r="F108" s="281"/>
      <c r="G108" s="352"/>
      <c r="H108" s="346">
        <f>D108*E108</f>
        <v>8580.0912127947995</v>
      </c>
    </row>
    <row r="109" spans="1:10" s="116" customFormat="1" ht="19.95" customHeight="1">
      <c r="A109" s="32"/>
      <c r="B109" s="37"/>
      <c r="C109" s="47"/>
      <c r="D109" s="111"/>
      <c r="E109" s="206"/>
      <c r="F109" s="281"/>
      <c r="G109" s="352"/>
      <c r="H109" s="345">
        <f>H106+H103+H98+G98</f>
        <v>55342.632129243342</v>
      </c>
    </row>
    <row r="110" spans="1:10" s="116" customFormat="1" ht="19.95" customHeight="1">
      <c r="A110" s="32"/>
      <c r="B110" s="37"/>
      <c r="C110" s="47"/>
      <c r="D110" s="111"/>
      <c r="E110" s="206"/>
      <c r="F110" s="281"/>
      <c r="G110" s="352"/>
      <c r="H110" s="346"/>
    </row>
    <row r="111" spans="1:10" s="116" customFormat="1" ht="19.95" customHeight="1">
      <c r="A111" s="117" t="s">
        <v>110</v>
      </c>
      <c r="B111" s="118" t="s">
        <v>19</v>
      </c>
      <c r="C111" s="119" t="s">
        <v>107</v>
      </c>
      <c r="D111" s="120">
        <f>SUM(D99:D101)</f>
        <v>360.35173349999997</v>
      </c>
      <c r="E111" s="349">
        <f>'Custo Gerencial LOTE 04'!$I$66</f>
        <v>79.3</v>
      </c>
      <c r="F111" s="296"/>
      <c r="G111" s="355"/>
      <c r="H111" s="347">
        <f>D111*E111</f>
        <v>28575.892466549998</v>
      </c>
    </row>
    <row r="112" spans="1:10" s="116" customFormat="1" ht="19.95" customHeight="1">
      <c r="A112" s="32"/>
      <c r="B112" s="37"/>
      <c r="C112" s="47"/>
      <c r="D112" s="111"/>
      <c r="E112" s="344"/>
      <c r="F112" s="254"/>
      <c r="G112" s="356"/>
      <c r="H112" s="346"/>
    </row>
    <row r="113" spans="1:10" s="116" customFormat="1" ht="19.95" customHeight="1" thickBot="1">
      <c r="A113" s="121"/>
      <c r="B113" s="122" t="s">
        <v>111</v>
      </c>
      <c r="C113" s="123" t="s">
        <v>57</v>
      </c>
      <c r="D113" s="124">
        <v>1</v>
      </c>
      <c r="E113" s="350">
        <f>H97</f>
        <v>83918.524595793337</v>
      </c>
      <c r="F113" s="297"/>
      <c r="G113" s="357"/>
      <c r="H113" s="348">
        <f>E113*D113</f>
        <v>83918.524595793337</v>
      </c>
    </row>
    <row r="114" spans="1:10" ht="19.95" customHeight="1" thickBot="1">
      <c r="A114" s="126"/>
      <c r="B114" s="126"/>
      <c r="C114" s="126"/>
      <c r="D114" s="126"/>
      <c r="E114" s="126"/>
      <c r="F114" s="126"/>
      <c r="G114" s="126"/>
      <c r="H114" s="126"/>
    </row>
    <row r="115" spans="1:10" ht="19.95" customHeight="1">
      <c r="A115" s="144" t="s">
        <v>85</v>
      </c>
      <c r="B115" s="535" t="s">
        <v>86</v>
      </c>
      <c r="C115" s="535"/>
      <c r="D115" s="535"/>
      <c r="E115" s="535"/>
      <c r="F115" s="536"/>
      <c r="G115" s="536"/>
      <c r="H115" s="537"/>
    </row>
    <row r="116" spans="1:10" ht="19.95" customHeight="1">
      <c r="A116" s="102" t="s">
        <v>12</v>
      </c>
      <c r="B116" s="103" t="s">
        <v>14</v>
      </c>
      <c r="C116" s="103" t="s">
        <v>15</v>
      </c>
      <c r="D116" s="103" t="s">
        <v>16</v>
      </c>
      <c r="E116" s="103" t="s">
        <v>97</v>
      </c>
      <c r="F116" s="294" t="s">
        <v>255</v>
      </c>
      <c r="G116" s="294" t="s">
        <v>257</v>
      </c>
      <c r="H116" s="104" t="s">
        <v>98</v>
      </c>
    </row>
    <row r="117" spans="1:10" ht="19.95" customHeight="1">
      <c r="A117" s="105"/>
      <c r="B117" s="35" t="str">
        <f>B115</f>
        <v>Relatório de Apoio no Acompanhamento da Conservação, Manutenção, Operação e Obras</v>
      </c>
      <c r="C117" s="36"/>
      <c r="D117" s="106"/>
      <c r="E117" s="39"/>
      <c r="F117" s="295"/>
      <c r="G117" s="351"/>
      <c r="H117" s="345">
        <f>H130+H132</f>
        <v>295211.7973438339</v>
      </c>
      <c r="J117" s="133"/>
    </row>
    <row r="118" spans="1:10" ht="19.95" customHeight="1">
      <c r="A118" s="105">
        <v>1</v>
      </c>
      <c r="B118" s="35" t="s">
        <v>106</v>
      </c>
      <c r="C118" s="36"/>
      <c r="D118" s="106"/>
      <c r="E118" s="39"/>
      <c r="F118" s="295"/>
      <c r="G118" s="351">
        <f>SUM(G119:G122)</f>
        <v>54839.003469077754</v>
      </c>
      <c r="H118" s="345">
        <f>SUM(H119:H122)</f>
        <v>59998.698010849912</v>
      </c>
    </row>
    <row r="119" spans="1:10" ht="19.95" customHeight="1">
      <c r="A119" s="32" t="s">
        <v>655</v>
      </c>
      <c r="B119" s="37" t="str">
        <f>VLOOKUP(A119,'Planilha base'!$C$11:$K$35,9,FALSE)</f>
        <v>Engenheiro de projetos sênior</v>
      </c>
      <c r="C119" s="36" t="s">
        <v>107</v>
      </c>
      <c r="D119" s="179">
        <v>176</v>
      </c>
      <c r="E119" s="343">
        <f>VLOOKUP(A119,'Planilha base'!$C$11:$K$35,6,FALSE)/'Planilha base'!$H$38</f>
        <v>76.099786289659704</v>
      </c>
      <c r="F119" s="284">
        <f>VLOOKUP(A119,'Planilha base'!$C$11:$K$35,4,FALSE)</f>
        <v>0.86</v>
      </c>
      <c r="G119" s="352">
        <f t="shared" ref="G119:G122" si="6">D119*E119*F119</f>
        <v>11518.463652802891</v>
      </c>
      <c r="H119" s="346">
        <f>D119*E119</f>
        <v>13393.562386980107</v>
      </c>
      <c r="J119" s="128">
        <f>'Planilha base'!$H$38</f>
        <v>182.49</v>
      </c>
    </row>
    <row r="120" spans="1:10" ht="19.95" customHeight="1">
      <c r="A120" s="32" t="s">
        <v>653</v>
      </c>
      <c r="B120" s="37" t="str">
        <f>VLOOKUP(A120,'Planilha base'!$C$11:$K$35,9,FALSE)</f>
        <v>Engenheiro de projetos pleno</v>
      </c>
      <c r="C120" s="36" t="s">
        <v>107</v>
      </c>
      <c r="D120" s="179">
        <v>176</v>
      </c>
      <c r="E120" s="343">
        <f>VLOOKUP(A120,'Planilha base'!$C$11:$K$35,6,FALSE)/'Planilha base'!$H$38</f>
        <v>57.69094196942298</v>
      </c>
      <c r="F120" s="284">
        <f>VLOOKUP(A120,'Planilha base'!$C$11:$K$35,4,FALSE)</f>
        <v>0.87970000000000004</v>
      </c>
      <c r="G120" s="352">
        <f t="shared" si="6"/>
        <v>8932.127010488246</v>
      </c>
      <c r="H120" s="346">
        <f>D120*E120</f>
        <v>10153.605786618444</v>
      </c>
      <c r="J120" s="128">
        <f>'Planilha base'!$H$38</f>
        <v>182.49</v>
      </c>
    </row>
    <row r="121" spans="1:10" ht="19.95" customHeight="1">
      <c r="A121" s="32" t="s">
        <v>651</v>
      </c>
      <c r="B121" s="37" t="str">
        <f>VLOOKUP(A121,'Planilha base'!$C$11:$K$35,9,FALSE)</f>
        <v>Engenheiro de projetos júnior</v>
      </c>
      <c r="C121" s="36" t="s">
        <v>107</v>
      </c>
      <c r="D121" s="179">
        <f>176*3</f>
        <v>528</v>
      </c>
      <c r="E121" s="343">
        <f>VLOOKUP(A121,'Planilha base'!$C$11:$K$35,6,FALSE)/'Planilha base'!$H$38</f>
        <v>51.235684147076547</v>
      </c>
      <c r="F121" s="284">
        <f>VLOOKUP(A121,'Planilha base'!$C$11:$K$35,4,FALSE)</f>
        <v>0.89</v>
      </c>
      <c r="G121" s="352">
        <f t="shared" si="6"/>
        <v>24076.672694394212</v>
      </c>
      <c r="H121" s="346">
        <f>D121*E121</f>
        <v>27052.441229656419</v>
      </c>
      <c r="J121" s="128">
        <f>'Planilha base'!$H$38*3</f>
        <v>547.47</v>
      </c>
    </row>
    <row r="122" spans="1:10" ht="19.95" customHeight="1">
      <c r="A122" s="32" t="s">
        <v>719</v>
      </c>
      <c r="B122" s="37" t="str">
        <f>VLOOKUP(A122,'Planilha base'!$C$11:$K$35,9,FALSE)</f>
        <v>Técnico de obras</v>
      </c>
      <c r="C122" s="36" t="s">
        <v>107</v>
      </c>
      <c r="D122" s="179">
        <f>176*4</f>
        <v>704</v>
      </c>
      <c r="E122" s="343">
        <f>VLOOKUP(A122,'Planilha base'!$C$11:$K$35,6,FALSE)/'Planilha base'!$H$38</f>
        <v>13.350978135788262</v>
      </c>
      <c r="F122" s="284">
        <f>VLOOKUP(A122,'Planilha base'!$C$11:$K$35,4,FALSE)</f>
        <v>1.0971</v>
      </c>
      <c r="G122" s="352">
        <f t="shared" si="6"/>
        <v>10311.740111392404</v>
      </c>
      <c r="H122" s="346">
        <f>D122*E122</f>
        <v>9399.0886075949365</v>
      </c>
      <c r="J122" s="128">
        <f>'Planilha base'!$H$38</f>
        <v>182.49</v>
      </c>
    </row>
    <row r="123" spans="1:10" ht="19.95" customHeight="1">
      <c r="A123" s="107"/>
      <c r="B123" s="37"/>
      <c r="C123" s="36"/>
      <c r="D123" s="111"/>
      <c r="E123" s="47"/>
      <c r="F123" s="255"/>
      <c r="G123" s="352"/>
      <c r="H123" s="346"/>
    </row>
    <row r="124" spans="1:10" ht="19.95" customHeight="1">
      <c r="A124" s="105">
        <v>2</v>
      </c>
      <c r="B124" s="35" t="s">
        <v>334</v>
      </c>
      <c r="C124" s="113"/>
      <c r="D124" s="106"/>
      <c r="E124" s="39"/>
      <c r="F124" s="295"/>
      <c r="G124" s="351"/>
      <c r="H124" s="345">
        <f>SUM(H125)</f>
        <v>13114.465509007739</v>
      </c>
    </row>
    <row r="125" spans="1:10" s="116" customFormat="1" ht="19.95" customHeight="1">
      <c r="A125" s="32" t="s">
        <v>335</v>
      </c>
      <c r="B125" s="45" t="s">
        <v>334</v>
      </c>
      <c r="C125" s="47" t="s">
        <v>52</v>
      </c>
      <c r="D125" s="111">
        <f>H118+G118</f>
        <v>114837.70147992767</v>
      </c>
      <c r="E125" s="206">
        <f>'Planilha base'!$H$39</f>
        <v>0.1142</v>
      </c>
      <c r="F125" s="281"/>
      <c r="G125" s="352"/>
      <c r="H125" s="346">
        <f>D125*E125</f>
        <v>13114.465509007739</v>
      </c>
    </row>
    <row r="126" spans="1:10" s="116" customFormat="1" ht="19.95" customHeight="1">
      <c r="A126" s="32"/>
      <c r="B126" s="37"/>
      <c r="C126" s="47"/>
      <c r="D126" s="111"/>
      <c r="E126" s="206"/>
      <c r="F126" s="281"/>
      <c r="G126" s="352"/>
      <c r="H126" s="346"/>
    </row>
    <row r="127" spans="1:10" ht="19.95" customHeight="1">
      <c r="A127" s="105">
        <v>3</v>
      </c>
      <c r="B127" s="35" t="s">
        <v>109</v>
      </c>
      <c r="C127" s="113"/>
      <c r="D127" s="106"/>
      <c r="E127" s="39"/>
      <c r="F127" s="295"/>
      <c r="G127" s="351"/>
      <c r="H127" s="345">
        <f>SUM(H128:H129)</f>
        <v>41648.430354898475</v>
      </c>
    </row>
    <row r="128" spans="1:10" s="116" customFormat="1" ht="19.95" customHeight="1">
      <c r="A128" s="32" t="s">
        <v>336</v>
      </c>
      <c r="B128" s="37" t="s">
        <v>67</v>
      </c>
      <c r="C128" s="47" t="s">
        <v>52</v>
      </c>
      <c r="D128" s="111">
        <f>H118+H124+G118</f>
        <v>127952.16698893541</v>
      </c>
      <c r="E128" s="206">
        <f>'Planilha base'!$H$40</f>
        <v>0.12</v>
      </c>
      <c r="F128" s="281"/>
      <c r="G128" s="352"/>
      <c r="H128" s="346">
        <f>D128*E128</f>
        <v>15354.260038672248</v>
      </c>
    </row>
    <row r="129" spans="1:14" s="116" customFormat="1" ht="19.95" customHeight="1">
      <c r="A129" s="32" t="s">
        <v>108</v>
      </c>
      <c r="B129" s="37" t="s">
        <v>68</v>
      </c>
      <c r="C129" s="47" t="s">
        <v>52</v>
      </c>
      <c r="D129" s="111">
        <f>H118+H124+G118</f>
        <v>127952.16698893541</v>
      </c>
      <c r="E129" s="206">
        <f>'Planilha base'!$H$41</f>
        <v>0.20550000000000002</v>
      </c>
      <c r="F129" s="281"/>
      <c r="G129" s="352"/>
      <c r="H129" s="346">
        <f>D129*E129</f>
        <v>26294.170316226227</v>
      </c>
    </row>
    <row r="130" spans="1:14" s="116" customFormat="1" ht="19.95" customHeight="1">
      <c r="A130" s="32"/>
      <c r="B130" s="37"/>
      <c r="C130" s="47"/>
      <c r="D130" s="111"/>
      <c r="E130" s="115"/>
      <c r="F130" s="254"/>
      <c r="G130" s="356"/>
      <c r="H130" s="345">
        <f>H127+H124+H118+G118</f>
        <v>169600.59734383388</v>
      </c>
    </row>
    <row r="131" spans="1:14" s="116" customFormat="1" ht="19.95" customHeight="1">
      <c r="A131" s="32"/>
      <c r="B131" s="37"/>
      <c r="C131" s="47"/>
      <c r="D131" s="111"/>
      <c r="E131" s="115"/>
      <c r="F131" s="254"/>
      <c r="G131" s="356"/>
      <c r="H131" s="346"/>
    </row>
    <row r="132" spans="1:14" s="116" customFormat="1" ht="19.95" customHeight="1">
      <c r="A132" s="117" t="s">
        <v>110</v>
      </c>
      <c r="B132" s="118" t="s">
        <v>19</v>
      </c>
      <c r="C132" s="119" t="s">
        <v>107</v>
      </c>
      <c r="D132" s="120">
        <f>SUM(D119:D122)</f>
        <v>1584</v>
      </c>
      <c r="E132" s="349">
        <f>'Custo Gerencial LOTE 04'!$I$66</f>
        <v>79.3</v>
      </c>
      <c r="F132" s="296"/>
      <c r="G132" s="355"/>
      <c r="H132" s="347">
        <f>D132*E132</f>
        <v>125611.2</v>
      </c>
    </row>
    <row r="133" spans="1:14" s="116" customFormat="1" ht="19.95" customHeight="1">
      <c r="A133" s="32"/>
      <c r="B133" s="37"/>
      <c r="C133" s="47"/>
      <c r="D133" s="111"/>
      <c r="E133" s="344"/>
      <c r="F133" s="254"/>
      <c r="G133" s="356"/>
      <c r="H133" s="346"/>
    </row>
    <row r="134" spans="1:14" s="116" customFormat="1" ht="19.95" customHeight="1" thickBot="1">
      <c r="A134" s="121"/>
      <c r="B134" s="122" t="s">
        <v>111</v>
      </c>
      <c r="C134" s="123" t="s">
        <v>57</v>
      </c>
      <c r="D134" s="124">
        <v>12</v>
      </c>
      <c r="E134" s="350">
        <f>H117</f>
        <v>295211.7973438339</v>
      </c>
      <c r="F134" s="297"/>
      <c r="G134" s="357"/>
      <c r="H134" s="348">
        <f>E134*D134</f>
        <v>3542541.568126007</v>
      </c>
      <c r="I134" s="157"/>
      <c r="J134" s="158"/>
    </row>
    <row r="135" spans="1:14" ht="19.95" customHeight="1" thickBot="1">
      <c r="A135" s="126"/>
      <c r="B135" s="126"/>
      <c r="C135" s="126"/>
      <c r="D135" s="126"/>
      <c r="H135" s="126"/>
    </row>
    <row r="136" spans="1:14" ht="19.95" customHeight="1" thickBot="1">
      <c r="A136" s="544" t="s">
        <v>551</v>
      </c>
      <c r="B136" s="545"/>
      <c r="C136" s="545"/>
      <c r="D136" s="545"/>
      <c r="E136" s="545"/>
      <c r="F136" s="546"/>
      <c r="G136" s="546"/>
      <c r="H136" s="547"/>
      <c r="I136" s="187"/>
      <c r="J136" s="187"/>
    </row>
    <row r="137" spans="1:14" ht="19.95" customHeight="1">
      <c r="A137" s="548" t="s">
        <v>12</v>
      </c>
      <c r="B137" s="550" t="s">
        <v>14</v>
      </c>
      <c r="C137" s="550"/>
      <c r="D137" s="552" t="s">
        <v>72</v>
      </c>
      <c r="E137" s="554" t="s">
        <v>112</v>
      </c>
      <c r="F137" s="555"/>
      <c r="G137" s="555"/>
      <c r="H137" s="556"/>
    </row>
    <row r="138" spans="1:14" ht="19.95" customHeight="1">
      <c r="A138" s="549"/>
      <c r="B138" s="551"/>
      <c r="C138" s="551"/>
      <c r="D138" s="553"/>
      <c r="E138" s="191" t="s">
        <v>113</v>
      </c>
      <c r="F138" s="298"/>
      <c r="G138" s="298"/>
      <c r="H138" s="182" t="s">
        <v>18</v>
      </c>
    </row>
    <row r="139" spans="1:14" ht="19.95" customHeight="1">
      <c r="A139" s="129" t="str">
        <f>A3</f>
        <v>A</v>
      </c>
      <c r="B139" s="130" t="str">
        <f>B3</f>
        <v>Relatório de Apoio na Análise da Monitoração do Pavimento</v>
      </c>
      <c r="C139" s="131"/>
      <c r="D139" s="185">
        <f>D27</f>
        <v>1</v>
      </c>
      <c r="E139" s="360">
        <f>E27</f>
        <v>885701.41662222322</v>
      </c>
      <c r="F139" s="185"/>
      <c r="G139" s="185"/>
      <c r="H139" s="358">
        <f t="shared" ref="H139:H144" si="7">ROUND(D139*E139,2)</f>
        <v>885701.42</v>
      </c>
      <c r="K139" s="133"/>
    </row>
    <row r="140" spans="1:14" ht="19.95" customHeight="1">
      <c r="A140" s="129" t="str">
        <f>A29</f>
        <v>B</v>
      </c>
      <c r="B140" s="130" t="str">
        <f>B29</f>
        <v>Relatório de Apoio na Análise da Monitoração da Sinalização Horizontal</v>
      </c>
      <c r="C140" s="131"/>
      <c r="D140" s="185">
        <f>D50</f>
        <v>1</v>
      </c>
      <c r="E140" s="360">
        <f>E50</f>
        <v>159867.49201646561</v>
      </c>
      <c r="F140" s="185"/>
      <c r="G140" s="185"/>
      <c r="H140" s="358">
        <f t="shared" si="7"/>
        <v>159867.49</v>
      </c>
    </row>
    <row r="141" spans="1:14" ht="19.95" customHeight="1">
      <c r="A141" s="129" t="str">
        <f>A52</f>
        <v>C</v>
      </c>
      <c r="B141" s="130" t="str">
        <f>B52</f>
        <v>Relatório de Apoio na Análise da Monitoração da Sinalização Vertical</v>
      </c>
      <c r="C141" s="131"/>
      <c r="D141" s="185">
        <f>D73</f>
        <v>1</v>
      </c>
      <c r="E141" s="360">
        <f>E73</f>
        <v>113354.66424416708</v>
      </c>
      <c r="F141" s="185"/>
      <c r="G141" s="185"/>
      <c r="H141" s="358">
        <f t="shared" si="7"/>
        <v>113354.66</v>
      </c>
    </row>
    <row r="142" spans="1:14" ht="19.95" customHeight="1">
      <c r="A142" s="129" t="str">
        <f>A75</f>
        <v>D</v>
      </c>
      <c r="B142" s="130" t="str">
        <f>B75</f>
        <v>Relatório de Apoio na Análise da Monitoração das Obras de Arte Especial</v>
      </c>
      <c r="C142" s="131"/>
      <c r="D142" s="185">
        <f>D93</f>
        <v>1</v>
      </c>
      <c r="E142" s="360">
        <f>E93</f>
        <v>78593.870357079519</v>
      </c>
      <c r="F142" s="185"/>
      <c r="G142" s="185"/>
      <c r="H142" s="358">
        <f t="shared" si="7"/>
        <v>78593.87</v>
      </c>
    </row>
    <row r="143" spans="1:14" ht="19.95" customHeight="1">
      <c r="A143" s="129" t="str">
        <f>A95</f>
        <v>E</v>
      </c>
      <c r="B143" s="130" t="str">
        <f>B95</f>
        <v>Relatório de Apoio na Análise da Monitoração dos Terraplenos e Estruturas de Contenção</v>
      </c>
      <c r="C143" s="131"/>
      <c r="D143" s="185">
        <f>D113</f>
        <v>1</v>
      </c>
      <c r="E143" s="360">
        <f>E113</f>
        <v>83918.524595793337</v>
      </c>
      <c r="F143" s="185"/>
      <c r="G143" s="185"/>
      <c r="H143" s="358">
        <f t="shared" si="7"/>
        <v>83918.52</v>
      </c>
    </row>
    <row r="144" spans="1:14" ht="19.95" customHeight="1" thickBot="1">
      <c r="A144" s="188" t="str">
        <f>A115</f>
        <v>F</v>
      </c>
      <c r="B144" s="189" t="str">
        <f>B115</f>
        <v>Relatório de Apoio no Acompanhamento da Conservação, Manutenção, Operação e Obras</v>
      </c>
      <c r="C144" s="190"/>
      <c r="D144" s="186">
        <f>D134</f>
        <v>12</v>
      </c>
      <c r="E144" s="361">
        <f>E134</f>
        <v>295211.7973438339</v>
      </c>
      <c r="F144" s="186"/>
      <c r="G144" s="186"/>
      <c r="H144" s="359">
        <f t="shared" si="7"/>
        <v>3542541.57</v>
      </c>
      <c r="K144" s="160"/>
      <c r="L144" s="160"/>
      <c r="M144" s="160"/>
      <c r="N144" s="160"/>
    </row>
    <row r="145" spans="4:14" ht="19.95" customHeight="1" thickBot="1">
      <c r="D145" s="159"/>
      <c r="E145" s="183" t="s">
        <v>87</v>
      </c>
      <c r="F145" s="299"/>
      <c r="G145" s="299"/>
      <c r="H145" s="184">
        <f>ROUND(SUM(H139:H144),2)</f>
        <v>4863977.53</v>
      </c>
      <c r="K145" s="192"/>
      <c r="L145" s="193"/>
      <c r="M145" s="193"/>
      <c r="N145" s="160"/>
    </row>
    <row r="146" spans="4:14">
      <c r="D146" s="132"/>
      <c r="E146" s="160"/>
      <c r="F146" s="160"/>
      <c r="G146" s="160"/>
      <c r="K146" s="160"/>
      <c r="L146" s="160"/>
      <c r="M146" s="160"/>
      <c r="N146" s="160"/>
    </row>
    <row r="147" spans="4:14">
      <c r="D147" s="82"/>
      <c r="H147" s="133"/>
      <c r="K147" s="160"/>
      <c r="L147" s="160"/>
      <c r="M147" s="160"/>
      <c r="N147" s="160"/>
    </row>
  </sheetData>
  <autoFilter ref="A5:A135" xr:uid="{00000000-0009-0000-0000-000002000000}"/>
  <mergeCells count="14">
    <mergeCell ref="B75:H75"/>
    <mergeCell ref="B95:H95"/>
    <mergeCell ref="B115:H115"/>
    <mergeCell ref="A136:H136"/>
    <mergeCell ref="A137:A138"/>
    <mergeCell ref="B137:C138"/>
    <mergeCell ref="D137:D138"/>
    <mergeCell ref="E137:H137"/>
    <mergeCell ref="B52:H52"/>
    <mergeCell ref="A1:B1"/>
    <mergeCell ref="C1:E1"/>
    <mergeCell ref="B3:H3"/>
    <mergeCell ref="L3:Q3"/>
    <mergeCell ref="B29:H29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rowBreaks count="5" manualBreakCount="5">
    <brk id="28" max="6" man="1"/>
    <brk id="51" max="6" man="1"/>
    <brk id="94" max="6" man="1"/>
    <brk id="114" max="6" man="1"/>
    <brk id="135" max="6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7FC909C5730449A938A60CDD85BEC2" ma:contentTypeVersion="11" ma:contentTypeDescription="Criar um novo documento." ma:contentTypeScope="" ma:versionID="140762e1967b7f62085c9569f80fcbe7">
  <xsd:schema xmlns:xsd="http://www.w3.org/2001/XMLSchema" xmlns:xs="http://www.w3.org/2001/XMLSchema" xmlns:p="http://schemas.microsoft.com/office/2006/metadata/properties" xmlns:ns2="aa032495-a024-488a-be02-4a6b1ac8b2dc" xmlns:ns3="3aa52169-5d01-44f1-aa21-56e8c550ec3b" targetNamespace="http://schemas.microsoft.com/office/2006/metadata/properties" ma:root="true" ma:fieldsID="854ef627507edefd8c7d96292eccce2c" ns2:_="" ns3:_="">
    <xsd:import namespace="aa032495-a024-488a-be02-4a6b1ac8b2dc"/>
    <xsd:import namespace="3aa52169-5d01-44f1-aa21-56e8c550ec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32495-a024-488a-be02-4a6b1ac8b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a52169-5d01-44f1-aa21-56e8c550ec3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C0733D-F2CD-4BB1-9762-5DEDC9953C57}">
  <ds:schemaRefs>
    <ds:schemaRef ds:uri="3aa52169-5d01-44f1-aa21-56e8c550ec3b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  <ds:schemaRef ds:uri="aa032495-a024-488a-be02-4a6b1ac8b2dc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C140538-CD3F-4DD3-B6C0-4D088F9B02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00D35E-7E04-4AE1-BA04-D824F942CB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032495-a024-488a-be02-4a6b1ac8b2dc"/>
    <ds:schemaRef ds:uri="3aa52169-5d01-44f1-aa21-56e8c550ec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13</vt:i4>
      </vt:variant>
    </vt:vector>
  </HeadingPairs>
  <TitlesOfParts>
    <vt:vector size="35" baseType="lpstr">
      <vt:lpstr>Resumo</vt:lpstr>
      <vt:lpstr>Custo Gerencial LOTE 01</vt:lpstr>
      <vt:lpstr>Relatorios LOTE 01</vt:lpstr>
      <vt:lpstr>Custo Gerencial LOTE 02</vt:lpstr>
      <vt:lpstr>Relatorios LOTE 02</vt:lpstr>
      <vt:lpstr>Custo Gerencial LOTE 03</vt:lpstr>
      <vt:lpstr>Relatorios LOTE 03</vt:lpstr>
      <vt:lpstr>Custo Gerencial LOTE 04</vt:lpstr>
      <vt:lpstr>Relatorios LOTE 04</vt:lpstr>
      <vt:lpstr>Planilha base</vt:lpstr>
      <vt:lpstr>Tabela DNIT-Consult-MO</vt:lpstr>
      <vt:lpstr>Tabela DNIT-Consult-BDI</vt:lpstr>
      <vt:lpstr>Diárias</vt:lpstr>
      <vt:lpstr>Faixas de Rolamento</vt:lpstr>
      <vt:lpstr>Mapa de Preços</vt:lpstr>
      <vt:lpstr>Lista Fornecedores</vt:lpstr>
      <vt:lpstr>NovaDutra</vt:lpstr>
      <vt:lpstr>Régis</vt:lpstr>
      <vt:lpstr>Transbrasiliana</vt:lpstr>
      <vt:lpstr>Planalto Sul</vt:lpstr>
      <vt:lpstr>Litoral Sul</vt:lpstr>
      <vt:lpstr>ViaCosteira</vt:lpstr>
      <vt:lpstr>'Litoral Sul'!Area_de_impressao</vt:lpstr>
      <vt:lpstr>'Mapa de Preços'!Area_de_impressao</vt:lpstr>
      <vt:lpstr>'Planalto Sul'!Area_de_impressao</vt:lpstr>
      <vt:lpstr>'Planilha base'!Area_de_impressao</vt:lpstr>
      <vt:lpstr>'Relatorios LOTE 01'!Area_de_impressao</vt:lpstr>
      <vt:lpstr>'Relatorios LOTE 02'!Area_de_impressao</vt:lpstr>
      <vt:lpstr>'Relatorios LOTE 03'!Area_de_impressao</vt:lpstr>
      <vt:lpstr>'Relatorios LOTE 04'!Area_de_impressao</vt:lpstr>
      <vt:lpstr>Resumo!Area_de_impressao</vt:lpstr>
      <vt:lpstr>'Relatorios LOTE 01'!Titulos_de_impressao</vt:lpstr>
      <vt:lpstr>'Relatorios LOTE 02'!Titulos_de_impressao</vt:lpstr>
      <vt:lpstr>'Relatorios LOTE 03'!Titulos_de_impressao</vt:lpstr>
      <vt:lpstr>'Relatorios LOTE 04'!Titulos_de_impressao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Marcos Vinícius</cp:lastModifiedBy>
  <cp:revision/>
  <dcterms:created xsi:type="dcterms:W3CDTF">2018-08-09T13:46:39Z</dcterms:created>
  <dcterms:modified xsi:type="dcterms:W3CDTF">2021-12-07T12:00:13Z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0x010100197FC909C5730449A938A60CDD85BEC2</vt:lpwstr>
  </property>
</Properties>
</file>